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drawings/drawing4.xml" ContentType="application/vnd.openxmlformats-officedocument.drawing+xml"/>
  <Override PartName="/xl/tables/table3.xml" ContentType="application/vnd.openxmlformats-officedocument.spreadsheetml.table+xml"/>
  <Override PartName="/xl/drawings/drawing5.xml" ContentType="application/vnd.openxmlformats-officedocument.drawing+xml"/>
  <Override PartName="/xl/tables/table4.xml" ContentType="application/vnd.openxmlformats-officedocument.spreadsheetml.table+xml"/>
  <Override PartName="/xl/drawings/drawing6.xml" ContentType="application/vnd.openxmlformats-officedocument.drawing+xml"/>
  <Override PartName="/xl/tables/table5.xml" ContentType="application/vnd.openxmlformats-officedocument.spreadsheetml.table+xml"/>
  <Override PartName="/xl/drawings/drawing7.xml" ContentType="application/vnd.openxmlformats-officedocument.drawing+xml"/>
  <Override PartName="/xl/tables/table6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0d1c4de46396a3e/Área de Trabalho/Portfólio excel/"/>
    </mc:Choice>
  </mc:AlternateContent>
  <xr:revisionPtr revIDLastSave="533" documentId="8_{DA5B7377-AB70-4BEB-BFA8-C931F3BFCD77}" xr6:coauthVersionLast="47" xr6:coauthVersionMax="47" xr10:uidLastSave="{1A59B8FF-8DBC-4350-AED6-37FE5B66729A}"/>
  <bookViews>
    <workbookView showSheetTabs="0" xWindow="-104" yWindow="-104" windowWidth="22326" windowHeight="11947" xr2:uid="{DCBA8B25-65C1-4314-94D7-8C10301D71DD}"/>
  </bookViews>
  <sheets>
    <sheet name="HOME" sheetId="4" r:id="rId1"/>
    <sheet name="un1" sheetId="3" r:id="rId2"/>
    <sheet name="sis-un1" sheetId="2" r:id="rId3"/>
    <sheet name="un2" sheetId="5" r:id="rId4"/>
    <sheet name="sis-un2" sheetId="6" r:id="rId5"/>
    <sheet name="un3" sheetId="7" r:id="rId6"/>
    <sheet name="sis-un3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2" i="4" l="1"/>
  <c r="I11" i="4"/>
  <c r="I10" i="4"/>
  <c r="F12" i="4"/>
  <c r="F11" i="4"/>
  <c r="F10" i="4"/>
  <c r="C10" i="4"/>
  <c r="C11" i="4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C12" i="4" l="1"/>
</calcChain>
</file>

<file path=xl/sharedStrings.xml><?xml version="1.0" encoding="utf-8"?>
<sst xmlns="http://schemas.openxmlformats.org/spreadsheetml/2006/main" count="601" uniqueCount="46">
  <si>
    <t>Entrada</t>
  </si>
  <si>
    <t>NF</t>
  </si>
  <si>
    <t>Fornecedor</t>
  </si>
  <si>
    <t>Vlr. Nota</t>
  </si>
  <si>
    <t>Data Emissão</t>
  </si>
  <si>
    <t>fulano</t>
  </si>
  <si>
    <t>joão vendas</t>
  </si>
  <si>
    <t>padaria</t>
  </si>
  <si>
    <t>fornecedor principal</t>
  </si>
  <si>
    <t>fornecedor reserva</t>
  </si>
  <si>
    <t>ciclano</t>
  </si>
  <si>
    <t>sicrano</t>
  </si>
  <si>
    <t>UF</t>
  </si>
  <si>
    <t>CFOP</t>
  </si>
  <si>
    <t>EMISSAO</t>
  </si>
  <si>
    <t>CNPJ EMISSOR</t>
  </si>
  <si>
    <t>CNPJ-CPF DESTINATARIO</t>
  </si>
  <si>
    <t>SITUACAO</t>
  </si>
  <si>
    <t>TIPO</t>
  </si>
  <si>
    <t>VALOR</t>
  </si>
  <si>
    <t>SISTEMA</t>
  </si>
  <si>
    <t>AUTORIZADA</t>
  </si>
  <si>
    <t>SAÍDA</t>
  </si>
  <si>
    <t>AM</t>
  </si>
  <si>
    <t>CANCELADA</t>
  </si>
  <si>
    <t>CONTROLE DE NOTAS - SEFAZ COM SISTEMA - NOTAS LANÇADAS</t>
  </si>
  <si>
    <t>TODOS ESSSES VALORES FORAM</t>
  </si>
  <si>
    <t>GERADOS PELA FORMULA</t>
  </si>
  <si>
    <t>=ALEATORIO()*1000, MAS EU</t>
  </si>
  <si>
    <t>VALORES NÃO ALTERAREM</t>
  </si>
  <si>
    <t>COPIEI E COLEI PARA OS</t>
  </si>
  <si>
    <t>AVISO</t>
  </si>
  <si>
    <t>=ALEATORIO()*1000,  EU</t>
  </si>
  <si>
    <t>- Formula que checa se a nota foi lançada no sistema</t>
  </si>
  <si>
    <t>- Formatação condicional, que dependendo do status, muda de cor</t>
  </si>
  <si>
    <t>OBJETIVOS E FUNÇÕES</t>
  </si>
  <si>
    <t>UNIDADE 1</t>
  </si>
  <si>
    <t>UNIDADE 2</t>
  </si>
  <si>
    <t>INFORMAÇÕES DO SISTEMA INTERNO DA EMPRESA</t>
  </si>
  <si>
    <t>UNIDADE 3</t>
  </si>
  <si>
    <t>- Você pode ir no sistema da unidade pesquisar no filtro</t>
  </si>
  <si>
    <t>NOTAS EMITIDAS</t>
  </si>
  <si>
    <t>NOTAS NO SISTEMA</t>
  </si>
  <si>
    <t>NOTAS NÃO LANÇADAS</t>
  </si>
  <si>
    <t>NOTAS LANÇADAS</t>
  </si>
  <si>
    <t>Números irreais, apenas para fins ilustrativos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</si>
</sst>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00&quot;.&quot;000&quot;.&quot;000&quot;/&quot;0000&quot;-&quot;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3">
    <xf numFmtId="0" fontId="0" fillId="0" borderId="0" xfId="0"/>
    <xf numFmtId="44" fontId="0" fillId="0" borderId="0" xfId="1" applyFont="1"/>
    <xf numFmtId="14" fontId="0" fillId="0" borderId="0" xfId="0" applyNumberFormat="1"/>
    <xf numFmtId="14" fontId="0" fillId="2" borderId="0" xfId="0" applyNumberFormat="1" applyFill="1"/>
    <xf numFmtId="0" fontId="0" fillId="2" borderId="0" xfId="0" applyFill="1"/>
    <xf numFmtId="44" fontId="0" fillId="2" borderId="0" xfId="1" applyFont="1" applyFill="1"/>
    <xf numFmtId="0" fontId="2" fillId="3" borderId="9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3" xfId="0" applyBorder="1"/>
    <xf numFmtId="14" fontId="0" fillId="0" borderId="13" xfId="0" applyNumberFormat="1" applyBorder="1" applyAlignment="1">
      <alignment horizontal="center" vertical="center"/>
    </xf>
    <xf numFmtId="164" fontId="0" fillId="0" borderId="13" xfId="0" applyNumberFormat="1" applyBorder="1" applyAlignment="1">
      <alignment horizontal="center" vertical="center"/>
    </xf>
    <xf numFmtId="44" fontId="0" fillId="0" borderId="13" xfId="0" applyNumberFormat="1" applyBorder="1" applyAlignment="1">
      <alignment horizontal="left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4" fontId="0" fillId="4" borderId="1" xfId="0" applyNumberFormat="1" applyFill="1" applyBorder="1" applyAlignment="1">
      <alignment horizontal="center" vertical="center"/>
    </xf>
    <xf numFmtId="164" fontId="0" fillId="4" borderId="13" xfId="0" applyNumberFormat="1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0" fillId="7" borderId="7" xfId="0" applyFill="1" applyBorder="1"/>
    <xf numFmtId="0" fontId="0" fillId="3" borderId="16" xfId="0" applyFill="1" applyBorder="1"/>
    <xf numFmtId="0" fontId="0" fillId="7" borderId="11" xfId="0" applyFill="1" applyBorder="1"/>
    <xf numFmtId="0" fontId="0" fillId="7" borderId="28" xfId="0" applyFill="1" applyBorder="1"/>
    <xf numFmtId="0" fontId="0" fillId="3" borderId="29" xfId="0" applyFill="1" applyBorder="1"/>
    <xf numFmtId="0" fontId="0" fillId="7" borderId="21" xfId="0" applyFill="1" applyBorder="1"/>
    <xf numFmtId="0" fontId="5" fillId="6" borderId="3" xfId="0" applyFont="1" applyFill="1" applyBorder="1" applyAlignment="1">
      <alignment horizontal="center"/>
    </xf>
    <xf numFmtId="0" fontId="5" fillId="6" borderId="5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0" fillId="6" borderId="25" xfId="0" quotePrefix="1" applyFill="1" applyBorder="1" applyAlignment="1">
      <alignment horizontal="left"/>
    </xf>
    <xf numFmtId="0" fontId="0" fillId="6" borderId="26" xfId="0" quotePrefix="1" applyFill="1" applyBorder="1" applyAlignment="1">
      <alignment horizontal="left"/>
    </xf>
    <xf numFmtId="0" fontId="0" fillId="6" borderId="27" xfId="0" quotePrefix="1" applyFill="1" applyBorder="1" applyAlignment="1">
      <alignment horizontal="left"/>
    </xf>
    <xf numFmtId="0" fontId="0" fillId="6" borderId="11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5" fillId="5" borderId="3" xfId="0" applyFont="1" applyFill="1" applyBorder="1" applyAlignment="1">
      <alignment horizontal="center"/>
    </xf>
    <xf numFmtId="0" fontId="5" fillId="5" borderId="4" xfId="0" applyFont="1" applyFill="1" applyBorder="1" applyAlignment="1">
      <alignment horizontal="center"/>
    </xf>
    <xf numFmtId="0" fontId="5" fillId="5" borderId="5" xfId="0" applyFont="1" applyFill="1" applyBorder="1" applyAlignment="1">
      <alignment horizontal="center"/>
    </xf>
    <xf numFmtId="0" fontId="0" fillId="6" borderId="18" xfId="0" quotePrefix="1" applyFill="1" applyBorder="1" applyAlignment="1">
      <alignment horizontal="left"/>
    </xf>
    <xf numFmtId="0" fontId="0" fillId="6" borderId="19" xfId="0" quotePrefix="1" applyFill="1" applyBorder="1" applyAlignment="1">
      <alignment horizontal="left"/>
    </xf>
    <xf numFmtId="0" fontId="0" fillId="6" borderId="20" xfId="0" quotePrefix="1" applyFill="1" applyBorder="1" applyAlignment="1">
      <alignment horizontal="left"/>
    </xf>
    <xf numFmtId="0" fontId="0" fillId="6" borderId="22" xfId="0" quotePrefix="1" applyFill="1" applyBorder="1" applyAlignment="1">
      <alignment horizontal="left"/>
    </xf>
    <xf numFmtId="0" fontId="0" fillId="6" borderId="23" xfId="0" quotePrefix="1" applyFill="1" applyBorder="1" applyAlignment="1">
      <alignment horizontal="left"/>
    </xf>
    <xf numFmtId="0" fontId="0" fillId="6" borderId="24" xfId="0" quotePrefix="1" applyFill="1" applyBorder="1" applyAlignment="1">
      <alignment horizontal="left"/>
    </xf>
    <xf numFmtId="0" fontId="3" fillId="3" borderId="4" xfId="0" applyFont="1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0" fillId="6" borderId="16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6" borderId="17" xfId="0" applyFill="1" applyBorder="1" applyAlignment="1">
      <alignment horizontal="center"/>
    </xf>
    <xf numFmtId="0" fontId="0" fillId="6" borderId="16" xfId="0" quotePrefix="1" applyFill="1" applyBorder="1" applyAlignment="1">
      <alignment horizontal="center"/>
    </xf>
    <xf numFmtId="0" fontId="0" fillId="6" borderId="0" xfId="0" quotePrefix="1" applyFill="1" applyAlignment="1">
      <alignment horizontal="center"/>
    </xf>
    <xf numFmtId="0" fontId="0" fillId="6" borderId="17" xfId="0" quotePrefix="1" applyFill="1" applyBorder="1" applyAlignment="1">
      <alignment horizontal="center"/>
    </xf>
    <xf numFmtId="14" fontId="4" fillId="2" borderId="3" xfId="0" applyNumberFormat="1" applyFont="1" applyFill="1" applyBorder="1" applyAlignment="1">
      <alignment horizontal="center"/>
    </xf>
    <xf numFmtId="14" fontId="4" fillId="2" borderId="4" xfId="0" applyNumberFormat="1" applyFont="1" applyFill="1" applyBorder="1" applyAlignment="1">
      <alignment horizontal="center"/>
    </xf>
    <xf numFmtId="14" fontId="4" fillId="2" borderId="5" xfId="0" applyNumberFormat="1" applyFont="1" applyFill="1" applyBorder="1" applyAlignment="1">
      <alignment horizontal="center"/>
    </xf>
  </cellXfs>
  <cellStyles count="2">
    <cellStyle name="Moeda" xfId="1" builtinId="4"/>
    <cellStyle name="Normal" xfId="0" builtinId="0"/>
  </cellStyles>
  <dxfs count="63">
    <dxf>
      <font>
        <color theme="0"/>
      </font>
      <fill>
        <patternFill>
          <bgColor rgb="FFF95D6C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rgb="FFFFA3A3"/>
        </patternFill>
      </fill>
    </dxf>
    <dxf>
      <fill>
        <patternFill>
          <bgColor rgb="FFC4E59F"/>
        </patternFill>
      </fill>
    </dxf>
    <dxf>
      <font>
        <color theme="0"/>
      </font>
      <fill>
        <patternFill>
          <bgColor rgb="FFF95D6C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rgb="FFFFA3A3"/>
        </patternFill>
      </fill>
    </dxf>
    <dxf>
      <fill>
        <patternFill>
          <bgColor rgb="FFC4E59F"/>
        </patternFill>
      </fill>
    </dxf>
    <dxf>
      <font>
        <color theme="0"/>
      </font>
      <fill>
        <patternFill>
          <bgColor rgb="FFF95D6C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rgb="FFFFA3A3"/>
        </patternFill>
      </fill>
    </dxf>
    <dxf>
      <fill>
        <patternFill>
          <bgColor rgb="FFC4E59F"/>
        </patternFill>
      </fill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9" formatCode="dd/mm/yyyy"/>
    </dxf>
    <dxf>
      <fill>
        <patternFill patternType="solid">
          <fgColor indexed="64"/>
          <bgColor theme="1" tint="0.34998626667073579"/>
        </patternFill>
      </fill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numFmt numFmtId="34" formatCode="_-&quot;R$&quot;\ * #,##0.00_-;\-&quot;R$&quot;\ * #,##0.00_-;_-&quot;R$&quot;\ * &quot;-&quot;??_-;_-@_-"/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0&quot;.&quot;000&quot;.&quot;000&quot;/&quot;0000&quot;-&quot;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numFmt numFmtId="164" formatCode="00&quot;.&quot;000&quot;.&quot;000&quot;/&quot;0000&quot;-&quot;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numFmt numFmtId="19" formatCode="dd/mm/yyyy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9" formatCode="dd/mm/yyyy"/>
    </dxf>
    <dxf>
      <fill>
        <patternFill patternType="solid">
          <fgColor indexed="64"/>
          <bgColor theme="1" tint="0.34998626667073579"/>
        </patternFill>
      </fill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numFmt numFmtId="34" formatCode="_-&quot;R$&quot;\ * #,##0.00_-;\-&quot;R$&quot;\ * #,##0.00_-;_-&quot;R$&quot;\ * &quot;-&quot;??_-;_-@_-"/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0&quot;.&quot;000&quot;.&quot;000&quot;/&quot;0000&quot;-&quot;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numFmt numFmtId="164" formatCode="00&quot;.&quot;000&quot;.&quot;000&quot;/&quot;0000&quot;-&quot;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numFmt numFmtId="19" formatCode="dd/mm/yyyy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9" formatCode="dd/mm/yyyy"/>
    </dxf>
    <dxf>
      <fill>
        <patternFill patternType="solid">
          <fgColor indexed="64"/>
          <bgColor theme="1" tint="0.34998626667073579"/>
        </patternFill>
      </fill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numFmt numFmtId="34" formatCode="_-&quot;R$&quot;\ * #,##0.00_-;\-&quot;R$&quot;\ * #,##0.00_-;_-&quot;R$&quot;\ * &quot;-&quot;??_-;_-@_-"/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0&quot;.&quot;000&quot;.&quot;000&quot;/&quot;0000&quot;-&quot;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numFmt numFmtId="164" formatCode="00&quot;.&quot;000&quot;.&quot;000&quot;/&quot;0000&quot;-&quot;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numFmt numFmtId="19" formatCode="dd/mm/yyyy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dxfs>
  <tableStyles count="0" defaultTableStyle="TableStyleMedium2" defaultPivotStyle="PivotStyleLight16"/>
  <colors>
    <mruColors>
      <color rgb="FFC4E59F"/>
      <color rgb="FFFFA3A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'sis-un3'!A1"/><Relationship Id="rId7" Type="http://schemas.openxmlformats.org/officeDocument/2006/relationships/hyperlink" Target="#HOME!A1"/><Relationship Id="rId2" Type="http://schemas.openxmlformats.org/officeDocument/2006/relationships/hyperlink" Target="#'sis-un2'!A1"/><Relationship Id="rId1" Type="http://schemas.openxmlformats.org/officeDocument/2006/relationships/hyperlink" Target="#'sis-un1'!A1"/><Relationship Id="rId6" Type="http://schemas.openxmlformats.org/officeDocument/2006/relationships/hyperlink" Target="#'un3'!A1"/><Relationship Id="rId5" Type="http://schemas.openxmlformats.org/officeDocument/2006/relationships/hyperlink" Target="#'un2'!A1"/><Relationship Id="rId4" Type="http://schemas.openxmlformats.org/officeDocument/2006/relationships/hyperlink" Target="#'un1'!A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'un3'!A1"/><Relationship Id="rId2" Type="http://schemas.openxmlformats.org/officeDocument/2006/relationships/hyperlink" Target="#'un2'!A1"/><Relationship Id="rId1" Type="http://schemas.openxmlformats.org/officeDocument/2006/relationships/hyperlink" Target="#'un1'!A1"/><Relationship Id="rId5" Type="http://schemas.openxmlformats.org/officeDocument/2006/relationships/hyperlink" Target="#HOME!A1"/><Relationship Id="rId4" Type="http://schemas.openxmlformats.org/officeDocument/2006/relationships/hyperlink" Target="#'sis-un1'!A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'un3'!A1"/><Relationship Id="rId2" Type="http://schemas.openxmlformats.org/officeDocument/2006/relationships/hyperlink" Target="#'un2'!A1"/><Relationship Id="rId1" Type="http://schemas.openxmlformats.org/officeDocument/2006/relationships/hyperlink" Target="#'un1'!A1"/><Relationship Id="rId5" Type="http://schemas.openxmlformats.org/officeDocument/2006/relationships/hyperlink" Target="#HOME!A1"/><Relationship Id="rId4" Type="http://schemas.openxmlformats.org/officeDocument/2006/relationships/hyperlink" Target="#'sis-un1'!A1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hyperlink" Target="#'un3'!A1"/><Relationship Id="rId2" Type="http://schemas.openxmlformats.org/officeDocument/2006/relationships/hyperlink" Target="#'un2'!A1"/><Relationship Id="rId1" Type="http://schemas.openxmlformats.org/officeDocument/2006/relationships/hyperlink" Target="#'un1'!A1"/><Relationship Id="rId5" Type="http://schemas.openxmlformats.org/officeDocument/2006/relationships/hyperlink" Target="#HOME!A1"/><Relationship Id="rId4" Type="http://schemas.openxmlformats.org/officeDocument/2006/relationships/hyperlink" Target="#'sis-un2'!A1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hyperlink" Target="#'un3'!A1"/><Relationship Id="rId2" Type="http://schemas.openxmlformats.org/officeDocument/2006/relationships/hyperlink" Target="#'un2'!A1"/><Relationship Id="rId1" Type="http://schemas.openxmlformats.org/officeDocument/2006/relationships/hyperlink" Target="#'un1'!A1"/><Relationship Id="rId5" Type="http://schemas.openxmlformats.org/officeDocument/2006/relationships/hyperlink" Target="#HOME!A1"/><Relationship Id="rId4" Type="http://schemas.openxmlformats.org/officeDocument/2006/relationships/hyperlink" Target="#'sis-un3'!A1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hyperlink" Target="#'un3'!A1"/><Relationship Id="rId2" Type="http://schemas.openxmlformats.org/officeDocument/2006/relationships/hyperlink" Target="#'un2'!A1"/><Relationship Id="rId1" Type="http://schemas.openxmlformats.org/officeDocument/2006/relationships/hyperlink" Target="#'un1'!A1"/><Relationship Id="rId5" Type="http://schemas.openxmlformats.org/officeDocument/2006/relationships/hyperlink" Target="#HOME!A1"/><Relationship Id="rId4" Type="http://schemas.openxmlformats.org/officeDocument/2006/relationships/hyperlink" Target="#'sis-un3'!A1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hyperlink" Target="#'un3'!A1"/><Relationship Id="rId2" Type="http://schemas.openxmlformats.org/officeDocument/2006/relationships/hyperlink" Target="#'un2'!A1"/><Relationship Id="rId1" Type="http://schemas.openxmlformats.org/officeDocument/2006/relationships/hyperlink" Target="#'un1'!A1"/><Relationship Id="rId5" Type="http://schemas.openxmlformats.org/officeDocument/2006/relationships/hyperlink" Target="#HOME!A1"/><Relationship Id="rId4" Type="http://schemas.openxmlformats.org/officeDocument/2006/relationships/hyperlink" Target="#'sis-un3'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21945</xdr:colOff>
      <xdr:row>3</xdr:row>
      <xdr:rowOff>162612</xdr:rowOff>
    </xdr:from>
    <xdr:to>
      <xdr:col>1</xdr:col>
      <xdr:colOff>1363141</xdr:colOff>
      <xdr:row>6</xdr:row>
      <xdr:rowOff>34977</xdr:rowOff>
    </xdr:to>
    <xdr:sp macro="" textlink="">
      <xdr:nvSpPr>
        <xdr:cNvPr id="46" name="Retângulo: Cantos Arredondados 4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3716252-77F8-4305-B24F-C298E8D4CC5E}"/>
            </a:ext>
          </a:extLst>
        </xdr:cNvPr>
        <xdr:cNvSpPr/>
      </xdr:nvSpPr>
      <xdr:spPr>
        <a:xfrm>
          <a:off x="160934" y="1318414"/>
          <a:ext cx="1341196" cy="421005"/>
        </a:xfrm>
        <a:prstGeom prst="roundRect">
          <a:avLst/>
        </a:prstGeom>
        <a:solidFill>
          <a:schemeClr val="bg1">
            <a:lumMod val="75000"/>
          </a:schemeClr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100" b="1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UNIDADE 1</a:t>
          </a:r>
        </a:p>
      </xdr:txBody>
    </xdr:sp>
    <xdr:clientData/>
  </xdr:twoCellAnchor>
  <xdr:twoCellAnchor>
    <xdr:from>
      <xdr:col>1</xdr:col>
      <xdr:colOff>1374876</xdr:colOff>
      <xdr:row>3</xdr:row>
      <xdr:rowOff>157507</xdr:rowOff>
    </xdr:from>
    <xdr:to>
      <xdr:col>4</xdr:col>
      <xdr:colOff>770610</xdr:colOff>
      <xdr:row>6</xdr:row>
      <xdr:rowOff>29872</xdr:rowOff>
    </xdr:to>
    <xdr:sp macro="" textlink="">
      <xdr:nvSpPr>
        <xdr:cNvPr id="47" name="Retângulo: Cantos Arredondados 46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5F093049-1D4E-4155-9E72-2FEED0A0BFA0}"/>
            </a:ext>
          </a:extLst>
        </xdr:cNvPr>
        <xdr:cNvSpPr/>
      </xdr:nvSpPr>
      <xdr:spPr>
        <a:xfrm>
          <a:off x="1513865" y="1313309"/>
          <a:ext cx="1363523" cy="421005"/>
        </a:xfrm>
        <a:prstGeom prst="roundRect">
          <a:avLst/>
        </a:prstGeom>
        <a:solidFill>
          <a:schemeClr val="bg1">
            <a:lumMod val="75000"/>
          </a:schemeClr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100" b="1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UNIDADE</a:t>
          </a:r>
          <a:r>
            <a:rPr lang="pt-BR" sz="1100" b="1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 2</a:t>
          </a:r>
          <a:endParaRPr lang="pt-BR" sz="1100" b="1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782345</xdr:colOff>
      <xdr:row>3</xdr:row>
      <xdr:rowOff>157505</xdr:rowOff>
    </xdr:from>
    <xdr:to>
      <xdr:col>7</xdr:col>
      <xdr:colOff>152857</xdr:colOff>
      <xdr:row>6</xdr:row>
      <xdr:rowOff>29870</xdr:rowOff>
    </xdr:to>
    <xdr:sp macro="" textlink="">
      <xdr:nvSpPr>
        <xdr:cNvPr id="48" name="Retângulo: Cantos Arredondados 47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ACAB62A8-2081-44B1-A602-57324FA4C431}"/>
            </a:ext>
          </a:extLst>
        </xdr:cNvPr>
        <xdr:cNvSpPr/>
      </xdr:nvSpPr>
      <xdr:spPr>
        <a:xfrm>
          <a:off x="2889123" y="1313307"/>
          <a:ext cx="1338300" cy="421005"/>
        </a:xfrm>
        <a:prstGeom prst="roundRect">
          <a:avLst/>
        </a:prstGeom>
        <a:solidFill>
          <a:schemeClr val="bg1">
            <a:lumMod val="75000"/>
          </a:schemeClr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100" b="1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UNIDADE</a:t>
          </a:r>
          <a:r>
            <a:rPr lang="pt-BR" sz="1100" b="1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 3</a:t>
          </a:r>
          <a:endParaRPr lang="pt-BR" sz="1100" b="1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27125</xdr:colOff>
      <xdr:row>2</xdr:row>
      <xdr:rowOff>29262</xdr:rowOff>
    </xdr:from>
    <xdr:to>
      <xdr:col>7</xdr:col>
      <xdr:colOff>147065</xdr:colOff>
      <xdr:row>3</xdr:row>
      <xdr:rowOff>143562</xdr:rowOff>
    </xdr:to>
    <xdr:sp macro="" textlink="">
      <xdr:nvSpPr>
        <xdr:cNvPr id="49" name="Retângulo: Cantos Arredondados 48">
          <a:extLst>
            <a:ext uri="{FF2B5EF4-FFF2-40B4-BE49-F238E27FC236}">
              <a16:creationId xmlns:a16="http://schemas.microsoft.com/office/drawing/2014/main" id="{EFCA11E7-AC19-4729-9197-668B50F8BBB2}"/>
            </a:ext>
          </a:extLst>
        </xdr:cNvPr>
        <xdr:cNvSpPr/>
      </xdr:nvSpPr>
      <xdr:spPr>
        <a:xfrm>
          <a:off x="166114" y="1002184"/>
          <a:ext cx="4055517" cy="297180"/>
        </a:xfrm>
        <a:prstGeom prst="roundRect">
          <a:avLst/>
        </a:prstGeom>
        <a:solidFill>
          <a:schemeClr val="accent1">
            <a:lumMod val="50000"/>
          </a:schemeClr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pt-BR" sz="1100" b="1">
              <a:solidFill>
                <a:schemeClr val="bg1"/>
              </a:solidFill>
              <a:latin typeface="+mn-lt"/>
              <a:ea typeface="+mn-ea"/>
              <a:cs typeface="+mn-cs"/>
            </a:rPr>
            <a:t>BASE</a:t>
          </a:r>
          <a:r>
            <a:rPr lang="pt-BR" sz="1100" b="1" baseline="0">
              <a:solidFill>
                <a:schemeClr val="bg1"/>
              </a:solidFill>
              <a:latin typeface="+mn-lt"/>
              <a:ea typeface="+mn-ea"/>
              <a:cs typeface="+mn-cs"/>
            </a:rPr>
            <a:t> DE DADOS DO SISTEMA</a:t>
          </a:r>
          <a:endParaRPr lang="pt-BR" sz="1100" b="1">
            <a:solidFill>
              <a:schemeClr val="bg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21945</xdr:colOff>
      <xdr:row>0</xdr:row>
      <xdr:rowOff>338175</xdr:rowOff>
    </xdr:from>
    <xdr:to>
      <xdr:col>1</xdr:col>
      <xdr:colOff>1363141</xdr:colOff>
      <xdr:row>0</xdr:row>
      <xdr:rowOff>759180</xdr:rowOff>
    </xdr:to>
    <xdr:sp macro="" textlink="">
      <xdr:nvSpPr>
        <xdr:cNvPr id="50" name="Retângulo: Cantos Arredondados 49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8D9AC8C-7E6B-430F-8581-5B9363E93B44}"/>
            </a:ext>
          </a:extLst>
        </xdr:cNvPr>
        <xdr:cNvSpPr/>
      </xdr:nvSpPr>
      <xdr:spPr>
        <a:xfrm>
          <a:off x="160934" y="338175"/>
          <a:ext cx="1341196" cy="421005"/>
        </a:xfrm>
        <a:prstGeom prst="roundRect">
          <a:avLst/>
        </a:prstGeom>
        <a:solidFill>
          <a:schemeClr val="bg1">
            <a:lumMod val="75000"/>
          </a:schemeClr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100" b="1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UNIDADE 1</a:t>
          </a:r>
        </a:p>
      </xdr:txBody>
    </xdr:sp>
    <xdr:clientData/>
  </xdr:twoCellAnchor>
  <xdr:twoCellAnchor>
    <xdr:from>
      <xdr:col>1</xdr:col>
      <xdr:colOff>1374876</xdr:colOff>
      <xdr:row>0</xdr:row>
      <xdr:rowOff>333070</xdr:rowOff>
    </xdr:from>
    <xdr:to>
      <xdr:col>4</xdr:col>
      <xdr:colOff>770610</xdr:colOff>
      <xdr:row>0</xdr:row>
      <xdr:rowOff>754075</xdr:rowOff>
    </xdr:to>
    <xdr:sp macro="" textlink="">
      <xdr:nvSpPr>
        <xdr:cNvPr id="51" name="Retângulo: Cantos Arredondados 50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48432361-E2C8-4471-AF49-A8C9FBE6AC8B}"/>
            </a:ext>
          </a:extLst>
        </xdr:cNvPr>
        <xdr:cNvSpPr/>
      </xdr:nvSpPr>
      <xdr:spPr>
        <a:xfrm>
          <a:off x="1513865" y="333070"/>
          <a:ext cx="1363523" cy="421005"/>
        </a:xfrm>
        <a:prstGeom prst="roundRect">
          <a:avLst/>
        </a:prstGeom>
        <a:solidFill>
          <a:schemeClr val="bg1">
            <a:lumMod val="75000"/>
          </a:schemeClr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100" b="1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UNIDADE</a:t>
          </a:r>
          <a:r>
            <a:rPr lang="pt-BR" sz="1100" b="1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 2</a:t>
          </a:r>
          <a:endParaRPr lang="pt-BR" sz="1100" b="1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782345</xdr:colOff>
      <xdr:row>0</xdr:row>
      <xdr:rowOff>333068</xdr:rowOff>
    </xdr:from>
    <xdr:to>
      <xdr:col>7</xdr:col>
      <xdr:colOff>152857</xdr:colOff>
      <xdr:row>0</xdr:row>
      <xdr:rowOff>754073</xdr:rowOff>
    </xdr:to>
    <xdr:sp macro="" textlink="">
      <xdr:nvSpPr>
        <xdr:cNvPr id="52" name="Retângulo: Cantos Arredondados 51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39EE433D-D010-4D32-B92C-31E05899E520}"/>
            </a:ext>
          </a:extLst>
        </xdr:cNvPr>
        <xdr:cNvSpPr/>
      </xdr:nvSpPr>
      <xdr:spPr>
        <a:xfrm>
          <a:off x="2889123" y="333068"/>
          <a:ext cx="1338300" cy="421005"/>
        </a:xfrm>
        <a:prstGeom prst="roundRect">
          <a:avLst/>
        </a:prstGeom>
        <a:solidFill>
          <a:schemeClr val="bg1">
            <a:lumMod val="75000"/>
          </a:schemeClr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100" b="1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UNIDADE</a:t>
          </a:r>
          <a:r>
            <a:rPr lang="pt-BR" sz="1100" b="1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 3</a:t>
          </a:r>
          <a:endParaRPr lang="pt-BR" sz="1100" b="1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27125</xdr:colOff>
      <xdr:row>0</xdr:row>
      <xdr:rowOff>21945</xdr:rowOff>
    </xdr:from>
    <xdr:to>
      <xdr:col>7</xdr:col>
      <xdr:colOff>147065</xdr:colOff>
      <xdr:row>0</xdr:row>
      <xdr:rowOff>319125</xdr:rowOff>
    </xdr:to>
    <xdr:sp macro="" textlink="">
      <xdr:nvSpPr>
        <xdr:cNvPr id="54" name="Retângulo: Cantos Arredondados 53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F57323E8-CD4B-427D-AED0-7372E8E972F4}"/>
            </a:ext>
          </a:extLst>
        </xdr:cNvPr>
        <xdr:cNvSpPr/>
      </xdr:nvSpPr>
      <xdr:spPr>
        <a:xfrm>
          <a:off x="166114" y="21945"/>
          <a:ext cx="4055517" cy="297180"/>
        </a:xfrm>
        <a:prstGeom prst="roundRect">
          <a:avLst/>
        </a:prstGeom>
        <a:solidFill>
          <a:schemeClr val="accent1">
            <a:lumMod val="50000"/>
          </a:schemeClr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pt-BR" sz="1100" b="1">
              <a:solidFill>
                <a:schemeClr val="bg1"/>
              </a:solidFill>
              <a:latin typeface="+mn-lt"/>
              <a:ea typeface="+mn-ea"/>
              <a:cs typeface="+mn-cs"/>
            </a:rPr>
            <a:t>CONTROLE DE NOTAS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21945</xdr:colOff>
      <xdr:row>0</xdr:row>
      <xdr:rowOff>338175</xdr:rowOff>
    </xdr:from>
    <xdr:to>
      <xdr:col>3</xdr:col>
      <xdr:colOff>75666</xdr:colOff>
      <xdr:row>0</xdr:row>
      <xdr:rowOff>759180</xdr:rowOff>
    </xdr:to>
    <xdr:sp macro="" textlink="">
      <xdr:nvSpPr>
        <xdr:cNvPr id="17" name="Retângulo: Cantos Arredondados 16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C324E6C-279B-4DAD-93BE-621F9AB68236}"/>
            </a:ext>
          </a:extLst>
        </xdr:cNvPr>
        <xdr:cNvSpPr/>
      </xdr:nvSpPr>
      <xdr:spPr>
        <a:xfrm>
          <a:off x="160934" y="338175"/>
          <a:ext cx="1341196" cy="421005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100" b="1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UNIDADE 1</a:t>
          </a:r>
        </a:p>
      </xdr:txBody>
    </xdr:sp>
    <xdr:clientData/>
  </xdr:twoCellAnchor>
  <xdr:twoCellAnchor>
    <xdr:from>
      <xdr:col>3</xdr:col>
      <xdr:colOff>87401</xdr:colOff>
      <xdr:row>0</xdr:row>
      <xdr:rowOff>333070</xdr:rowOff>
    </xdr:from>
    <xdr:to>
      <xdr:col>4</xdr:col>
      <xdr:colOff>807187</xdr:colOff>
      <xdr:row>0</xdr:row>
      <xdr:rowOff>754075</xdr:rowOff>
    </xdr:to>
    <xdr:sp macro="" textlink="">
      <xdr:nvSpPr>
        <xdr:cNvPr id="18" name="Retângulo: Cantos Arredondados 17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A227E31B-BE21-4F9A-9370-D8B5DCFDCB84}"/>
            </a:ext>
          </a:extLst>
        </xdr:cNvPr>
        <xdr:cNvSpPr/>
      </xdr:nvSpPr>
      <xdr:spPr>
        <a:xfrm>
          <a:off x="1513865" y="333070"/>
          <a:ext cx="1363524" cy="421005"/>
        </a:xfrm>
        <a:prstGeom prst="roundRect">
          <a:avLst/>
        </a:prstGeom>
        <a:solidFill>
          <a:schemeClr val="bg1">
            <a:lumMod val="75000"/>
          </a:schemeClr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100" b="1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UNIDADE</a:t>
          </a:r>
          <a:r>
            <a:rPr lang="pt-BR" sz="1100" b="1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 2</a:t>
          </a:r>
          <a:endParaRPr lang="pt-BR" sz="1100" b="1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818922</xdr:colOff>
      <xdr:row>0</xdr:row>
      <xdr:rowOff>333068</xdr:rowOff>
    </xdr:from>
    <xdr:to>
      <xdr:col>5</xdr:col>
      <xdr:colOff>1242822</xdr:colOff>
      <xdr:row>0</xdr:row>
      <xdr:rowOff>754073</xdr:rowOff>
    </xdr:to>
    <xdr:sp macro="" textlink="">
      <xdr:nvSpPr>
        <xdr:cNvPr id="19" name="Retângulo: Cantos Arredondados 18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2527B105-2645-439A-97E8-A12230268AFE}"/>
            </a:ext>
          </a:extLst>
        </xdr:cNvPr>
        <xdr:cNvSpPr/>
      </xdr:nvSpPr>
      <xdr:spPr>
        <a:xfrm>
          <a:off x="2889124" y="333068"/>
          <a:ext cx="1338300" cy="421005"/>
        </a:xfrm>
        <a:prstGeom prst="roundRect">
          <a:avLst/>
        </a:prstGeom>
        <a:solidFill>
          <a:schemeClr val="bg1">
            <a:lumMod val="75000"/>
          </a:schemeClr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100" b="1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UNIDADE</a:t>
          </a:r>
          <a:r>
            <a:rPr lang="pt-BR" sz="1100" b="1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 3</a:t>
          </a:r>
          <a:endParaRPr lang="pt-BR" sz="1100" b="1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1261873</xdr:colOff>
      <xdr:row>0</xdr:row>
      <xdr:rowOff>36575</xdr:rowOff>
    </xdr:from>
    <xdr:to>
      <xdr:col>7</xdr:col>
      <xdr:colOff>142266</xdr:colOff>
      <xdr:row>0</xdr:row>
      <xdr:rowOff>754076</xdr:rowOff>
    </xdr:to>
    <xdr:sp macro="" textlink="">
      <xdr:nvSpPr>
        <xdr:cNvPr id="20" name="Retângulo: Cantos Arredondados 19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2526FCE4-813A-480B-8F47-5DE60D6B4AFD}"/>
            </a:ext>
          </a:extLst>
        </xdr:cNvPr>
        <xdr:cNvSpPr/>
      </xdr:nvSpPr>
      <xdr:spPr>
        <a:xfrm>
          <a:off x="4246475" y="36575"/>
          <a:ext cx="1426082" cy="717501"/>
        </a:xfrm>
        <a:prstGeom prst="roundRect">
          <a:avLst/>
        </a:prstGeom>
        <a:solidFill>
          <a:schemeClr val="bg1">
            <a:lumMod val="75000"/>
          </a:schemeClr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100" b="1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SISTEMA</a:t>
          </a:r>
        </a:p>
      </xdr:txBody>
    </xdr:sp>
    <xdr:clientData/>
  </xdr:twoCellAnchor>
  <xdr:twoCellAnchor>
    <xdr:from>
      <xdr:col>1</xdr:col>
      <xdr:colOff>27125</xdr:colOff>
      <xdr:row>0</xdr:row>
      <xdr:rowOff>21945</xdr:rowOff>
    </xdr:from>
    <xdr:to>
      <xdr:col>5</xdr:col>
      <xdr:colOff>1237030</xdr:colOff>
      <xdr:row>0</xdr:row>
      <xdr:rowOff>319125</xdr:rowOff>
    </xdr:to>
    <xdr:sp macro="" textlink="">
      <xdr:nvSpPr>
        <xdr:cNvPr id="21" name="Retângulo: Cantos Arredondados 20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D74834EB-6EDA-471D-8B4D-223E7C32F84B}"/>
            </a:ext>
          </a:extLst>
        </xdr:cNvPr>
        <xdr:cNvSpPr/>
      </xdr:nvSpPr>
      <xdr:spPr>
        <a:xfrm>
          <a:off x="166114" y="21945"/>
          <a:ext cx="4055518" cy="297180"/>
        </a:xfrm>
        <a:prstGeom prst="roundRect">
          <a:avLst/>
        </a:prstGeom>
        <a:solidFill>
          <a:schemeClr val="accent1">
            <a:lumMod val="50000"/>
          </a:schemeClr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pt-BR" sz="1100" b="1">
              <a:solidFill>
                <a:schemeClr val="bg1"/>
              </a:solidFill>
              <a:latin typeface="+mn-lt"/>
              <a:ea typeface="+mn-ea"/>
              <a:cs typeface="+mn-cs"/>
            </a:rPr>
            <a:t>CONTROLE DE NOTAS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21945</xdr:colOff>
      <xdr:row>0</xdr:row>
      <xdr:rowOff>338175</xdr:rowOff>
    </xdr:from>
    <xdr:to>
      <xdr:col>3</xdr:col>
      <xdr:colOff>178079</xdr:colOff>
      <xdr:row>0</xdr:row>
      <xdr:rowOff>759180</xdr:rowOff>
    </xdr:to>
    <xdr:sp macro="" textlink="">
      <xdr:nvSpPr>
        <xdr:cNvPr id="11" name="Retângulo: Cantos Arredondados 10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3D0A7DE-F945-417C-8D41-66E77A80A666}"/>
            </a:ext>
          </a:extLst>
        </xdr:cNvPr>
        <xdr:cNvSpPr/>
      </xdr:nvSpPr>
      <xdr:spPr>
        <a:xfrm>
          <a:off x="160934" y="338175"/>
          <a:ext cx="1341196" cy="421005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100" b="1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UNIDADE 1</a:t>
          </a:r>
        </a:p>
      </xdr:txBody>
    </xdr:sp>
    <xdr:clientData/>
  </xdr:twoCellAnchor>
  <xdr:twoCellAnchor>
    <xdr:from>
      <xdr:col>3</xdr:col>
      <xdr:colOff>189814</xdr:colOff>
      <xdr:row>0</xdr:row>
      <xdr:rowOff>333070</xdr:rowOff>
    </xdr:from>
    <xdr:to>
      <xdr:col>4</xdr:col>
      <xdr:colOff>82982</xdr:colOff>
      <xdr:row>0</xdr:row>
      <xdr:rowOff>754075</xdr:rowOff>
    </xdr:to>
    <xdr:sp macro="" textlink="">
      <xdr:nvSpPr>
        <xdr:cNvPr id="12" name="Retângulo: Cantos Arredondados 11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B6D1DE2B-32BE-40D2-82A2-AC1322BD4D11}"/>
            </a:ext>
          </a:extLst>
        </xdr:cNvPr>
        <xdr:cNvSpPr/>
      </xdr:nvSpPr>
      <xdr:spPr>
        <a:xfrm>
          <a:off x="1513865" y="333070"/>
          <a:ext cx="1363523" cy="421005"/>
        </a:xfrm>
        <a:prstGeom prst="roundRect">
          <a:avLst/>
        </a:prstGeom>
        <a:solidFill>
          <a:schemeClr val="bg1">
            <a:lumMod val="75000"/>
          </a:schemeClr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100" b="1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UNIDADE</a:t>
          </a:r>
          <a:r>
            <a:rPr lang="pt-BR" sz="1100" b="1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 2</a:t>
          </a:r>
          <a:endParaRPr lang="pt-BR" sz="1100" b="1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94717</xdr:colOff>
      <xdr:row>0</xdr:row>
      <xdr:rowOff>333068</xdr:rowOff>
    </xdr:from>
    <xdr:to>
      <xdr:col>5</xdr:col>
      <xdr:colOff>628345</xdr:colOff>
      <xdr:row>0</xdr:row>
      <xdr:rowOff>754073</xdr:rowOff>
    </xdr:to>
    <xdr:sp macro="" textlink="">
      <xdr:nvSpPr>
        <xdr:cNvPr id="13" name="Retângulo: Cantos Arredondados 1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FA0844B-3A55-4256-997B-A6CB0EAB5480}"/>
            </a:ext>
          </a:extLst>
        </xdr:cNvPr>
        <xdr:cNvSpPr/>
      </xdr:nvSpPr>
      <xdr:spPr>
        <a:xfrm>
          <a:off x="2889123" y="333068"/>
          <a:ext cx="1338300" cy="421005"/>
        </a:xfrm>
        <a:prstGeom prst="roundRect">
          <a:avLst/>
        </a:prstGeom>
        <a:solidFill>
          <a:schemeClr val="bg1">
            <a:lumMod val="75000"/>
          </a:schemeClr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100" b="1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UNIDADE</a:t>
          </a:r>
          <a:r>
            <a:rPr lang="pt-BR" sz="1100" b="1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 3</a:t>
          </a:r>
          <a:endParaRPr lang="pt-BR" sz="1100" b="1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647396</xdr:colOff>
      <xdr:row>0</xdr:row>
      <xdr:rowOff>36575</xdr:rowOff>
    </xdr:from>
    <xdr:to>
      <xdr:col>7</xdr:col>
      <xdr:colOff>464135</xdr:colOff>
      <xdr:row>0</xdr:row>
      <xdr:rowOff>754076</xdr:rowOff>
    </xdr:to>
    <xdr:sp macro="" textlink="">
      <xdr:nvSpPr>
        <xdr:cNvPr id="14" name="Retângulo: Cantos Arredondados 13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32944D49-D16D-4939-9A45-7210D9312255}"/>
            </a:ext>
          </a:extLst>
        </xdr:cNvPr>
        <xdr:cNvSpPr/>
      </xdr:nvSpPr>
      <xdr:spPr>
        <a:xfrm>
          <a:off x="4246474" y="36575"/>
          <a:ext cx="1426083" cy="717501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100" b="1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SISTEMA</a:t>
          </a:r>
        </a:p>
      </xdr:txBody>
    </xdr:sp>
    <xdr:clientData/>
  </xdr:twoCellAnchor>
  <xdr:twoCellAnchor>
    <xdr:from>
      <xdr:col>1</xdr:col>
      <xdr:colOff>27125</xdr:colOff>
      <xdr:row>0</xdr:row>
      <xdr:rowOff>21945</xdr:rowOff>
    </xdr:from>
    <xdr:to>
      <xdr:col>5</xdr:col>
      <xdr:colOff>622553</xdr:colOff>
      <xdr:row>0</xdr:row>
      <xdr:rowOff>319125</xdr:rowOff>
    </xdr:to>
    <xdr:sp macro="" textlink="">
      <xdr:nvSpPr>
        <xdr:cNvPr id="15" name="Retângulo: Cantos Arredondados 14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1CBF1686-2921-4D14-9EA8-505EC67C7B69}"/>
            </a:ext>
          </a:extLst>
        </xdr:cNvPr>
        <xdr:cNvSpPr/>
      </xdr:nvSpPr>
      <xdr:spPr>
        <a:xfrm>
          <a:off x="166114" y="21945"/>
          <a:ext cx="4055517" cy="297180"/>
        </a:xfrm>
        <a:prstGeom prst="roundRect">
          <a:avLst/>
        </a:prstGeom>
        <a:solidFill>
          <a:schemeClr val="accent1">
            <a:lumMod val="50000"/>
          </a:schemeClr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pt-BR" sz="1100" b="1">
              <a:solidFill>
                <a:schemeClr val="bg1"/>
              </a:solidFill>
              <a:latin typeface="+mn-lt"/>
              <a:ea typeface="+mn-ea"/>
              <a:cs typeface="+mn-cs"/>
            </a:rPr>
            <a:t>CONTROLE DE NOTAS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21945</xdr:colOff>
      <xdr:row>0</xdr:row>
      <xdr:rowOff>338175</xdr:rowOff>
    </xdr:from>
    <xdr:to>
      <xdr:col>3</xdr:col>
      <xdr:colOff>75666</xdr:colOff>
      <xdr:row>0</xdr:row>
      <xdr:rowOff>759180</xdr:rowOff>
    </xdr:to>
    <xdr:sp macro="" textlink="">
      <xdr:nvSpPr>
        <xdr:cNvPr id="27" name="Retângulo: Cantos Arredondados 26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15D4D24-D172-408E-B378-66978825AE4C}"/>
            </a:ext>
          </a:extLst>
        </xdr:cNvPr>
        <xdr:cNvSpPr/>
      </xdr:nvSpPr>
      <xdr:spPr>
        <a:xfrm>
          <a:off x="160934" y="338175"/>
          <a:ext cx="1341196" cy="421005"/>
        </a:xfrm>
        <a:prstGeom prst="roundRect">
          <a:avLst/>
        </a:prstGeom>
        <a:solidFill>
          <a:schemeClr val="bg1">
            <a:lumMod val="75000"/>
          </a:schemeClr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100" b="1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UNIDADE 1</a:t>
          </a:r>
        </a:p>
      </xdr:txBody>
    </xdr:sp>
    <xdr:clientData/>
  </xdr:twoCellAnchor>
  <xdr:twoCellAnchor>
    <xdr:from>
      <xdr:col>3</xdr:col>
      <xdr:colOff>87401</xdr:colOff>
      <xdr:row>0</xdr:row>
      <xdr:rowOff>333070</xdr:rowOff>
    </xdr:from>
    <xdr:to>
      <xdr:col>4</xdr:col>
      <xdr:colOff>807187</xdr:colOff>
      <xdr:row>0</xdr:row>
      <xdr:rowOff>754075</xdr:rowOff>
    </xdr:to>
    <xdr:sp macro="" textlink="">
      <xdr:nvSpPr>
        <xdr:cNvPr id="28" name="Retângulo: Cantos Arredondados 27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4E572D33-6F10-4D20-AA5C-EECBAD76EA30}"/>
            </a:ext>
          </a:extLst>
        </xdr:cNvPr>
        <xdr:cNvSpPr/>
      </xdr:nvSpPr>
      <xdr:spPr>
        <a:xfrm>
          <a:off x="1513865" y="333070"/>
          <a:ext cx="1363524" cy="421005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100" b="1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UNIDADE</a:t>
          </a:r>
          <a:r>
            <a:rPr lang="pt-BR" sz="1100" b="1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 2</a:t>
          </a:r>
          <a:endParaRPr lang="pt-BR" sz="1100" b="1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818922</xdr:colOff>
      <xdr:row>0</xdr:row>
      <xdr:rowOff>333068</xdr:rowOff>
    </xdr:from>
    <xdr:to>
      <xdr:col>5</xdr:col>
      <xdr:colOff>1242822</xdr:colOff>
      <xdr:row>0</xdr:row>
      <xdr:rowOff>754073</xdr:rowOff>
    </xdr:to>
    <xdr:sp macro="" textlink="">
      <xdr:nvSpPr>
        <xdr:cNvPr id="29" name="Retângulo: Cantos Arredondados 28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4DCDA08D-399B-4EBE-A138-B72DDEAA17A2}"/>
            </a:ext>
          </a:extLst>
        </xdr:cNvPr>
        <xdr:cNvSpPr/>
      </xdr:nvSpPr>
      <xdr:spPr>
        <a:xfrm>
          <a:off x="2889124" y="333068"/>
          <a:ext cx="1338300" cy="421005"/>
        </a:xfrm>
        <a:prstGeom prst="roundRect">
          <a:avLst/>
        </a:prstGeom>
        <a:solidFill>
          <a:schemeClr val="bg1">
            <a:lumMod val="75000"/>
          </a:schemeClr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100" b="1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UNIDADE</a:t>
          </a:r>
          <a:r>
            <a:rPr lang="pt-BR" sz="1100" b="1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 3</a:t>
          </a:r>
          <a:endParaRPr lang="pt-BR" sz="1100" b="1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1261873</xdr:colOff>
      <xdr:row>0</xdr:row>
      <xdr:rowOff>36575</xdr:rowOff>
    </xdr:from>
    <xdr:to>
      <xdr:col>7</xdr:col>
      <xdr:colOff>142266</xdr:colOff>
      <xdr:row>0</xdr:row>
      <xdr:rowOff>754076</xdr:rowOff>
    </xdr:to>
    <xdr:sp macro="" textlink="">
      <xdr:nvSpPr>
        <xdr:cNvPr id="30" name="Retângulo: Cantos Arredondados 29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2843038A-F176-4E71-8611-8D4044E4D56A}"/>
            </a:ext>
          </a:extLst>
        </xdr:cNvPr>
        <xdr:cNvSpPr/>
      </xdr:nvSpPr>
      <xdr:spPr>
        <a:xfrm>
          <a:off x="4246475" y="36575"/>
          <a:ext cx="1426082" cy="717501"/>
        </a:xfrm>
        <a:prstGeom prst="roundRect">
          <a:avLst/>
        </a:prstGeom>
        <a:solidFill>
          <a:schemeClr val="bg1">
            <a:lumMod val="75000"/>
          </a:schemeClr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100" b="1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SISTEMA</a:t>
          </a:r>
        </a:p>
      </xdr:txBody>
    </xdr:sp>
    <xdr:clientData/>
  </xdr:twoCellAnchor>
  <xdr:twoCellAnchor>
    <xdr:from>
      <xdr:col>1</xdr:col>
      <xdr:colOff>27125</xdr:colOff>
      <xdr:row>0</xdr:row>
      <xdr:rowOff>21945</xdr:rowOff>
    </xdr:from>
    <xdr:to>
      <xdr:col>5</xdr:col>
      <xdr:colOff>1237030</xdr:colOff>
      <xdr:row>0</xdr:row>
      <xdr:rowOff>319125</xdr:rowOff>
    </xdr:to>
    <xdr:sp macro="" textlink="">
      <xdr:nvSpPr>
        <xdr:cNvPr id="31" name="Retângulo: Cantos Arredondados 30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FECC9CF7-73A2-4CC0-A498-0C5E476D27A0}"/>
            </a:ext>
          </a:extLst>
        </xdr:cNvPr>
        <xdr:cNvSpPr/>
      </xdr:nvSpPr>
      <xdr:spPr>
        <a:xfrm>
          <a:off x="166114" y="21945"/>
          <a:ext cx="4055518" cy="297180"/>
        </a:xfrm>
        <a:prstGeom prst="roundRect">
          <a:avLst/>
        </a:prstGeom>
        <a:solidFill>
          <a:schemeClr val="accent1">
            <a:lumMod val="50000"/>
          </a:schemeClr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pt-BR" sz="1100" b="1">
              <a:solidFill>
                <a:schemeClr val="bg1"/>
              </a:solidFill>
              <a:latin typeface="+mn-lt"/>
              <a:ea typeface="+mn-ea"/>
              <a:cs typeface="+mn-cs"/>
            </a:rPr>
            <a:t>CONTROLE DE NOTAS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21945</xdr:colOff>
      <xdr:row>0</xdr:row>
      <xdr:rowOff>338175</xdr:rowOff>
    </xdr:from>
    <xdr:to>
      <xdr:col>3</xdr:col>
      <xdr:colOff>178079</xdr:colOff>
      <xdr:row>0</xdr:row>
      <xdr:rowOff>759180</xdr:rowOff>
    </xdr:to>
    <xdr:sp macro="" textlink="">
      <xdr:nvSpPr>
        <xdr:cNvPr id="26" name="Retângulo: Cantos Arredondados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790DAB0-F6BD-4742-B707-972C25B70E43}"/>
            </a:ext>
          </a:extLst>
        </xdr:cNvPr>
        <xdr:cNvSpPr/>
      </xdr:nvSpPr>
      <xdr:spPr>
        <a:xfrm>
          <a:off x="160934" y="338175"/>
          <a:ext cx="1341196" cy="421005"/>
        </a:xfrm>
        <a:prstGeom prst="roundRect">
          <a:avLst/>
        </a:prstGeom>
        <a:solidFill>
          <a:schemeClr val="bg1">
            <a:lumMod val="75000"/>
          </a:schemeClr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100" b="1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UNIDADE 1</a:t>
          </a:r>
        </a:p>
      </xdr:txBody>
    </xdr:sp>
    <xdr:clientData/>
  </xdr:twoCellAnchor>
  <xdr:twoCellAnchor>
    <xdr:from>
      <xdr:col>3</xdr:col>
      <xdr:colOff>189814</xdr:colOff>
      <xdr:row>0</xdr:row>
      <xdr:rowOff>333070</xdr:rowOff>
    </xdr:from>
    <xdr:to>
      <xdr:col>4</xdr:col>
      <xdr:colOff>82982</xdr:colOff>
      <xdr:row>0</xdr:row>
      <xdr:rowOff>754075</xdr:rowOff>
    </xdr:to>
    <xdr:sp macro="" textlink="">
      <xdr:nvSpPr>
        <xdr:cNvPr id="27" name="Retângulo: Cantos Arredondados 26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70A9FB5C-E339-4BCD-A1FF-49A880F4684E}"/>
            </a:ext>
          </a:extLst>
        </xdr:cNvPr>
        <xdr:cNvSpPr/>
      </xdr:nvSpPr>
      <xdr:spPr>
        <a:xfrm>
          <a:off x="1513865" y="333070"/>
          <a:ext cx="1363523" cy="421005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100" b="1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UNIDADE</a:t>
          </a:r>
          <a:r>
            <a:rPr lang="pt-BR" sz="1100" b="1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 2</a:t>
          </a:r>
          <a:endParaRPr lang="pt-BR" sz="1100" b="1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94717</xdr:colOff>
      <xdr:row>0</xdr:row>
      <xdr:rowOff>333068</xdr:rowOff>
    </xdr:from>
    <xdr:to>
      <xdr:col>5</xdr:col>
      <xdr:colOff>628346</xdr:colOff>
      <xdr:row>0</xdr:row>
      <xdr:rowOff>754073</xdr:rowOff>
    </xdr:to>
    <xdr:sp macro="" textlink="">
      <xdr:nvSpPr>
        <xdr:cNvPr id="28" name="Retângulo: Cantos Arredondados 27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C51652BE-A147-4767-9DF7-2CB1F5788987}"/>
            </a:ext>
          </a:extLst>
        </xdr:cNvPr>
        <xdr:cNvSpPr/>
      </xdr:nvSpPr>
      <xdr:spPr>
        <a:xfrm>
          <a:off x="2889123" y="333068"/>
          <a:ext cx="1338301" cy="421005"/>
        </a:xfrm>
        <a:prstGeom prst="roundRect">
          <a:avLst/>
        </a:prstGeom>
        <a:solidFill>
          <a:schemeClr val="bg1">
            <a:lumMod val="75000"/>
          </a:schemeClr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100" b="1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UNIDADE</a:t>
          </a:r>
          <a:r>
            <a:rPr lang="pt-BR" sz="1100" b="1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 3</a:t>
          </a:r>
          <a:endParaRPr lang="pt-BR" sz="1100" b="1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647397</xdr:colOff>
      <xdr:row>0</xdr:row>
      <xdr:rowOff>36575</xdr:rowOff>
    </xdr:from>
    <xdr:to>
      <xdr:col>7</xdr:col>
      <xdr:colOff>464135</xdr:colOff>
      <xdr:row>0</xdr:row>
      <xdr:rowOff>754076</xdr:rowOff>
    </xdr:to>
    <xdr:sp macro="" textlink="">
      <xdr:nvSpPr>
        <xdr:cNvPr id="29" name="Retângulo: Cantos Arredondados 28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BBB20952-72ED-4D84-A761-28CE3A18186B}"/>
            </a:ext>
          </a:extLst>
        </xdr:cNvPr>
        <xdr:cNvSpPr/>
      </xdr:nvSpPr>
      <xdr:spPr>
        <a:xfrm>
          <a:off x="4246475" y="36575"/>
          <a:ext cx="1426082" cy="717501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100" b="1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SISTEMA</a:t>
          </a:r>
        </a:p>
      </xdr:txBody>
    </xdr:sp>
    <xdr:clientData/>
  </xdr:twoCellAnchor>
  <xdr:twoCellAnchor>
    <xdr:from>
      <xdr:col>1</xdr:col>
      <xdr:colOff>27125</xdr:colOff>
      <xdr:row>0</xdr:row>
      <xdr:rowOff>21945</xdr:rowOff>
    </xdr:from>
    <xdr:to>
      <xdr:col>5</xdr:col>
      <xdr:colOff>622554</xdr:colOff>
      <xdr:row>0</xdr:row>
      <xdr:rowOff>319125</xdr:rowOff>
    </xdr:to>
    <xdr:sp macro="" textlink="">
      <xdr:nvSpPr>
        <xdr:cNvPr id="30" name="Retângulo: Cantos Arredondados 29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B28122C-3778-43B8-BF78-B0BE5AD0F993}"/>
            </a:ext>
          </a:extLst>
        </xdr:cNvPr>
        <xdr:cNvSpPr/>
      </xdr:nvSpPr>
      <xdr:spPr>
        <a:xfrm>
          <a:off x="166114" y="21945"/>
          <a:ext cx="4055518" cy="297180"/>
        </a:xfrm>
        <a:prstGeom prst="roundRect">
          <a:avLst/>
        </a:prstGeom>
        <a:solidFill>
          <a:schemeClr val="accent1">
            <a:lumMod val="50000"/>
          </a:schemeClr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pt-BR" sz="1100" b="1">
              <a:solidFill>
                <a:schemeClr val="bg1"/>
              </a:solidFill>
              <a:latin typeface="+mn-lt"/>
              <a:ea typeface="+mn-ea"/>
              <a:cs typeface="+mn-cs"/>
            </a:rPr>
            <a:t>CONTROLE DE NOTAS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21945</xdr:colOff>
      <xdr:row>0</xdr:row>
      <xdr:rowOff>338175</xdr:rowOff>
    </xdr:from>
    <xdr:to>
      <xdr:col>3</xdr:col>
      <xdr:colOff>75666</xdr:colOff>
      <xdr:row>0</xdr:row>
      <xdr:rowOff>759180</xdr:rowOff>
    </xdr:to>
    <xdr:sp macro="" textlink="">
      <xdr:nvSpPr>
        <xdr:cNvPr id="12" name="Retângulo: Cantos Arredondados 1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066D1C2-7DB7-421A-960D-8D7EE21EF086}"/>
            </a:ext>
          </a:extLst>
        </xdr:cNvPr>
        <xdr:cNvSpPr/>
      </xdr:nvSpPr>
      <xdr:spPr>
        <a:xfrm>
          <a:off x="160934" y="338175"/>
          <a:ext cx="1341196" cy="421005"/>
        </a:xfrm>
        <a:prstGeom prst="roundRect">
          <a:avLst/>
        </a:prstGeom>
        <a:solidFill>
          <a:schemeClr val="bg1">
            <a:lumMod val="75000"/>
          </a:schemeClr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100" b="1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UNIDADE 1</a:t>
          </a:r>
        </a:p>
      </xdr:txBody>
    </xdr:sp>
    <xdr:clientData/>
  </xdr:twoCellAnchor>
  <xdr:twoCellAnchor>
    <xdr:from>
      <xdr:col>3</xdr:col>
      <xdr:colOff>87401</xdr:colOff>
      <xdr:row>0</xdr:row>
      <xdr:rowOff>333070</xdr:rowOff>
    </xdr:from>
    <xdr:to>
      <xdr:col>4</xdr:col>
      <xdr:colOff>807187</xdr:colOff>
      <xdr:row>0</xdr:row>
      <xdr:rowOff>754075</xdr:rowOff>
    </xdr:to>
    <xdr:sp macro="" textlink="">
      <xdr:nvSpPr>
        <xdr:cNvPr id="13" name="Retângulo: Cantos Arredondados 1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231B306E-7A43-4623-9F9B-7E08AE7CEF07}"/>
            </a:ext>
          </a:extLst>
        </xdr:cNvPr>
        <xdr:cNvSpPr/>
      </xdr:nvSpPr>
      <xdr:spPr>
        <a:xfrm>
          <a:off x="1513865" y="333070"/>
          <a:ext cx="1363524" cy="421005"/>
        </a:xfrm>
        <a:prstGeom prst="roundRect">
          <a:avLst/>
        </a:prstGeom>
        <a:solidFill>
          <a:schemeClr val="bg1">
            <a:lumMod val="75000"/>
          </a:schemeClr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100" b="1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UNIDADE</a:t>
          </a:r>
          <a:r>
            <a:rPr lang="pt-BR" sz="1100" b="1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 2</a:t>
          </a:r>
          <a:endParaRPr lang="pt-BR" sz="1100" b="1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818922</xdr:colOff>
      <xdr:row>0</xdr:row>
      <xdr:rowOff>333068</xdr:rowOff>
    </xdr:from>
    <xdr:to>
      <xdr:col>5</xdr:col>
      <xdr:colOff>1242822</xdr:colOff>
      <xdr:row>0</xdr:row>
      <xdr:rowOff>754073</xdr:rowOff>
    </xdr:to>
    <xdr:sp macro="" textlink="">
      <xdr:nvSpPr>
        <xdr:cNvPr id="14" name="Retângulo: Cantos Arredondados 1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E8395D00-58E5-43F2-A091-A5AFA0784DA9}"/>
            </a:ext>
          </a:extLst>
        </xdr:cNvPr>
        <xdr:cNvSpPr/>
      </xdr:nvSpPr>
      <xdr:spPr>
        <a:xfrm>
          <a:off x="2889124" y="333068"/>
          <a:ext cx="1338300" cy="421005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100" b="1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UNIDADE</a:t>
          </a:r>
          <a:r>
            <a:rPr lang="pt-BR" sz="1100" b="1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 3</a:t>
          </a:r>
          <a:endParaRPr lang="pt-BR" sz="1100" b="1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1261873</xdr:colOff>
      <xdr:row>0</xdr:row>
      <xdr:rowOff>36575</xdr:rowOff>
    </xdr:from>
    <xdr:to>
      <xdr:col>7</xdr:col>
      <xdr:colOff>142266</xdr:colOff>
      <xdr:row>0</xdr:row>
      <xdr:rowOff>754076</xdr:rowOff>
    </xdr:to>
    <xdr:sp macro="" textlink="">
      <xdr:nvSpPr>
        <xdr:cNvPr id="15" name="Retângulo: Cantos Arredondados 1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18F4745A-DB8E-421F-B118-77590E7808C9}"/>
            </a:ext>
          </a:extLst>
        </xdr:cNvPr>
        <xdr:cNvSpPr/>
      </xdr:nvSpPr>
      <xdr:spPr>
        <a:xfrm>
          <a:off x="4246475" y="36575"/>
          <a:ext cx="1426082" cy="717501"/>
        </a:xfrm>
        <a:prstGeom prst="roundRect">
          <a:avLst/>
        </a:prstGeom>
        <a:solidFill>
          <a:schemeClr val="bg1">
            <a:lumMod val="75000"/>
          </a:schemeClr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100" b="1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SISTEMA</a:t>
          </a:r>
        </a:p>
      </xdr:txBody>
    </xdr:sp>
    <xdr:clientData/>
  </xdr:twoCellAnchor>
  <xdr:twoCellAnchor>
    <xdr:from>
      <xdr:col>1</xdr:col>
      <xdr:colOff>27125</xdr:colOff>
      <xdr:row>0</xdr:row>
      <xdr:rowOff>21945</xdr:rowOff>
    </xdr:from>
    <xdr:to>
      <xdr:col>5</xdr:col>
      <xdr:colOff>1237030</xdr:colOff>
      <xdr:row>0</xdr:row>
      <xdr:rowOff>319125</xdr:rowOff>
    </xdr:to>
    <xdr:sp macro="" textlink="">
      <xdr:nvSpPr>
        <xdr:cNvPr id="16" name="Retângulo: Cantos Arredondados 15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4129D942-06C4-417C-A1D3-4519F655D4B5}"/>
            </a:ext>
          </a:extLst>
        </xdr:cNvPr>
        <xdr:cNvSpPr/>
      </xdr:nvSpPr>
      <xdr:spPr>
        <a:xfrm>
          <a:off x="166114" y="21945"/>
          <a:ext cx="4055518" cy="297180"/>
        </a:xfrm>
        <a:prstGeom prst="roundRect">
          <a:avLst/>
        </a:prstGeom>
        <a:solidFill>
          <a:schemeClr val="accent1">
            <a:lumMod val="50000"/>
          </a:schemeClr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pt-BR" sz="1100" b="1">
              <a:solidFill>
                <a:schemeClr val="bg1"/>
              </a:solidFill>
              <a:latin typeface="+mn-lt"/>
              <a:ea typeface="+mn-ea"/>
              <a:cs typeface="+mn-cs"/>
            </a:rPr>
            <a:t>CONTROLE DE NOTAS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316230</xdr:rowOff>
    </xdr:from>
    <xdr:to>
      <xdr:col>3</xdr:col>
      <xdr:colOff>156134</xdr:colOff>
      <xdr:row>0</xdr:row>
      <xdr:rowOff>737235</xdr:rowOff>
    </xdr:to>
    <xdr:sp macro="" textlink="">
      <xdr:nvSpPr>
        <xdr:cNvPr id="27" name="Retângulo: Cantos Arredondados 26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8D017ED-2517-43ED-B2E3-546B7436D88F}"/>
            </a:ext>
          </a:extLst>
        </xdr:cNvPr>
        <xdr:cNvSpPr/>
      </xdr:nvSpPr>
      <xdr:spPr>
        <a:xfrm>
          <a:off x="138989" y="316230"/>
          <a:ext cx="1341196" cy="421005"/>
        </a:xfrm>
        <a:prstGeom prst="roundRect">
          <a:avLst/>
        </a:prstGeom>
        <a:solidFill>
          <a:schemeClr val="bg1">
            <a:lumMod val="75000"/>
          </a:schemeClr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100" b="1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UNIDADE 1</a:t>
          </a:r>
        </a:p>
      </xdr:txBody>
    </xdr:sp>
    <xdr:clientData/>
  </xdr:twoCellAnchor>
  <xdr:twoCellAnchor>
    <xdr:from>
      <xdr:col>3</xdr:col>
      <xdr:colOff>167869</xdr:colOff>
      <xdr:row>0</xdr:row>
      <xdr:rowOff>311125</xdr:rowOff>
    </xdr:from>
    <xdr:to>
      <xdr:col>4</xdr:col>
      <xdr:colOff>61038</xdr:colOff>
      <xdr:row>0</xdr:row>
      <xdr:rowOff>732130</xdr:rowOff>
    </xdr:to>
    <xdr:sp macro="" textlink="">
      <xdr:nvSpPr>
        <xdr:cNvPr id="28" name="Retângulo: Cantos Arredondados 27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BBB3E0E-20FB-4F94-9462-8AD813534BDA}"/>
            </a:ext>
          </a:extLst>
        </xdr:cNvPr>
        <xdr:cNvSpPr/>
      </xdr:nvSpPr>
      <xdr:spPr>
        <a:xfrm>
          <a:off x="1491920" y="311125"/>
          <a:ext cx="1363524" cy="421005"/>
        </a:xfrm>
        <a:prstGeom prst="roundRect">
          <a:avLst/>
        </a:prstGeom>
        <a:solidFill>
          <a:schemeClr val="bg1">
            <a:lumMod val="75000"/>
          </a:schemeClr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100" b="1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UNIDADE</a:t>
          </a:r>
          <a:r>
            <a:rPr lang="pt-BR" sz="1100" b="1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 2</a:t>
          </a:r>
          <a:endParaRPr lang="pt-BR" sz="1100" b="1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72773</xdr:colOff>
      <xdr:row>0</xdr:row>
      <xdr:rowOff>311123</xdr:rowOff>
    </xdr:from>
    <xdr:to>
      <xdr:col>5</xdr:col>
      <xdr:colOff>606401</xdr:colOff>
      <xdr:row>0</xdr:row>
      <xdr:rowOff>732128</xdr:rowOff>
    </xdr:to>
    <xdr:sp macro="" textlink="">
      <xdr:nvSpPr>
        <xdr:cNvPr id="29" name="Retângulo: Cantos Arredondados 28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028FE54-4596-471A-A0FA-143B03A945B6}"/>
            </a:ext>
          </a:extLst>
        </xdr:cNvPr>
        <xdr:cNvSpPr/>
      </xdr:nvSpPr>
      <xdr:spPr>
        <a:xfrm>
          <a:off x="2867179" y="311123"/>
          <a:ext cx="1338300" cy="421005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100" b="1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UNIDADE</a:t>
          </a:r>
          <a:r>
            <a:rPr lang="pt-BR" sz="1100" b="1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 3</a:t>
          </a:r>
          <a:endParaRPr lang="pt-BR" sz="1100" b="1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625452</xdr:colOff>
      <xdr:row>0</xdr:row>
      <xdr:rowOff>14630</xdr:rowOff>
    </xdr:from>
    <xdr:to>
      <xdr:col>7</xdr:col>
      <xdr:colOff>442190</xdr:colOff>
      <xdr:row>0</xdr:row>
      <xdr:rowOff>732131</xdr:rowOff>
    </xdr:to>
    <xdr:sp macro="" textlink="">
      <xdr:nvSpPr>
        <xdr:cNvPr id="30" name="Retângulo: Cantos Arredondados 29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817DE18F-B82F-4E98-95FC-63C92C7FAE8A}"/>
            </a:ext>
          </a:extLst>
        </xdr:cNvPr>
        <xdr:cNvSpPr/>
      </xdr:nvSpPr>
      <xdr:spPr>
        <a:xfrm>
          <a:off x="4224530" y="14630"/>
          <a:ext cx="1426082" cy="717501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100" b="1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SISTEMA</a:t>
          </a:r>
        </a:p>
      </xdr:txBody>
    </xdr:sp>
    <xdr:clientData/>
  </xdr:twoCellAnchor>
  <xdr:twoCellAnchor>
    <xdr:from>
      <xdr:col>1</xdr:col>
      <xdr:colOff>5180</xdr:colOff>
      <xdr:row>0</xdr:row>
      <xdr:rowOff>0</xdr:rowOff>
    </xdr:from>
    <xdr:to>
      <xdr:col>5</xdr:col>
      <xdr:colOff>600609</xdr:colOff>
      <xdr:row>0</xdr:row>
      <xdr:rowOff>297180</xdr:rowOff>
    </xdr:to>
    <xdr:sp macro="" textlink="">
      <xdr:nvSpPr>
        <xdr:cNvPr id="31" name="Retângulo: Cantos Arredondados 30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E1D55C23-19B1-4CB9-BAEB-2745959CDA32}"/>
            </a:ext>
          </a:extLst>
        </xdr:cNvPr>
        <xdr:cNvSpPr/>
      </xdr:nvSpPr>
      <xdr:spPr>
        <a:xfrm>
          <a:off x="144169" y="0"/>
          <a:ext cx="4055518" cy="297180"/>
        </a:xfrm>
        <a:prstGeom prst="roundRect">
          <a:avLst/>
        </a:prstGeom>
        <a:solidFill>
          <a:schemeClr val="accent1">
            <a:lumMod val="50000"/>
          </a:schemeClr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pt-BR" sz="1100" b="1">
              <a:solidFill>
                <a:schemeClr val="bg1"/>
              </a:solidFill>
              <a:latin typeface="+mn-lt"/>
              <a:ea typeface="+mn-ea"/>
              <a:cs typeface="+mn-cs"/>
            </a:rPr>
            <a:t>CONTROLE DE NOTAS</a:t>
          </a:r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D84B4CA-ED54-4D67-9EB6-1214193FD6F7}" name="Tabela16" displayName="Tabela16" ref="B4:K47" totalsRowShown="0" headerRowDxfId="62" headerRowBorderDxfId="61" tableBorderDxfId="60">
  <autoFilter ref="B4:K47" xr:uid="{DD84B4CA-ED54-4D67-9EB6-1214193FD6F7}"/>
  <tableColumns count="10">
    <tableColumn id="1" xr3:uid="{51E58EF5-EC4F-44E6-AC7F-50767790E242}" name="UF" dataDxfId="59"/>
    <tableColumn id="2" xr3:uid="{42ABD18A-53D6-469C-990A-331D4F4E7E64}" name="NF" dataDxfId="58"/>
    <tableColumn id="10" xr3:uid="{DCE64EBB-1F23-4BEE-9A8D-A07EFD56B427}" name="CFOP" dataDxfId="57"/>
    <tableColumn id="3" xr3:uid="{8D380BE6-F72F-4C89-861A-E33F66276EB5}" name="EMISSAO" dataDxfId="56"/>
    <tableColumn id="4" xr3:uid="{27E60BBE-3D86-4F18-8723-6285CDE6062C}" name="CNPJ EMISSOR" dataDxfId="55"/>
    <tableColumn id="5" xr3:uid="{BDF8B05D-E78C-4C54-94CF-983ED6FD2815}" name="CNPJ-CPF DESTINATARIO" dataDxfId="54"/>
    <tableColumn id="6" xr3:uid="{FDD6DFA4-3059-4E6A-A66A-684A5575719B}" name="SITUACAO" dataDxfId="53"/>
    <tableColumn id="7" xr3:uid="{1F1E7DB1-A8F4-49F7-BCFC-DFA5D549E613}" name="TIPO" dataDxfId="52"/>
    <tableColumn id="8" xr3:uid="{3EE1EE64-B21C-4801-A28A-FFEAE9D1A64B}" name="VALOR" dataDxfId="51"/>
    <tableColumn id="9" xr3:uid="{1A031BCB-9891-4193-AD67-5D297AE153D6}" name="SISTEMA" dataDxfId="50">
      <calculatedColumnFormula>IFERROR(IF(VLOOKUP(Tabela16[[#This Row],[NF]],Tabela3[NF],1,FALSE),"CONSTA","NÃO CONSTA"),"NÃO CONSTA")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391E4A8-7899-467A-A753-1516AD72F4F8}" name="Tabela3" displayName="Tabela3" ref="B4:F37" totalsRowShown="0" headerRowDxfId="49">
  <autoFilter ref="B4:F37" xr:uid="{D391E4A8-7899-467A-A753-1516AD72F4F8}"/>
  <tableColumns count="5">
    <tableColumn id="1" xr3:uid="{91F9BFE5-7049-4C32-8C71-2028DFBA5793}" name="Entrada" dataDxfId="48"/>
    <tableColumn id="2" xr3:uid="{45DC5F34-4CEB-450F-AB74-CBCC3DF4DD5D}" name="NF"/>
    <tableColumn id="3" xr3:uid="{A5BDEE62-DDFB-411A-BAB5-1090DBEDC4E2}" name="Fornecedor"/>
    <tableColumn id="4" xr3:uid="{DFE01FF0-0BD5-4222-8C45-CE2B4C4C63A3}" name="Vlr. Nota" dataDxfId="47" dataCellStyle="Moeda"/>
    <tableColumn id="5" xr3:uid="{FD968CE5-065E-498F-8C30-D064D59EB325}" name="Data Emissão" dataDxfId="46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DE4F19F-C8C3-4675-A6C7-57C0E87EC9D2}" name="Tabela162" displayName="Tabela162" ref="B4:K47" totalsRowShown="0" headerRowDxfId="45" headerRowBorderDxfId="44" tableBorderDxfId="43">
  <autoFilter ref="B4:K47" xr:uid="{DD84B4CA-ED54-4D67-9EB6-1214193FD6F7}"/>
  <tableColumns count="10">
    <tableColumn id="1" xr3:uid="{52E05C71-2257-4F48-B595-779F2BDE7CD9}" name="UF" dataDxfId="42"/>
    <tableColumn id="2" xr3:uid="{973028E8-5019-44B4-A8A8-4B6F978B8102}" name="NF" dataDxfId="41"/>
    <tableColumn id="10" xr3:uid="{6CE02A11-613D-4FE1-B74C-E3FA6DF19E73}" name="CFOP" dataDxfId="40"/>
    <tableColumn id="3" xr3:uid="{18F87427-28D3-4CAC-8E97-6D80B7C2BF91}" name="EMISSAO" dataDxfId="39"/>
    <tableColumn id="4" xr3:uid="{59C6E072-E84C-4922-8B05-D4C3F910207A}" name="CNPJ EMISSOR" dataDxfId="38"/>
    <tableColumn id="5" xr3:uid="{AB167339-EC20-45CC-81A3-67C8B8FE7541}" name="CNPJ-CPF DESTINATARIO" dataDxfId="37"/>
    <tableColumn id="6" xr3:uid="{B7D2CBAF-B1B4-455D-AD3E-C055A8987832}" name="SITUACAO" dataDxfId="36"/>
    <tableColumn id="7" xr3:uid="{EF256FE0-35D4-4D91-96D5-0C3888511143}" name="TIPO" dataDxfId="35"/>
    <tableColumn id="8" xr3:uid="{13AFF0EF-BAAD-4005-A425-1CEC1E067A7A}" name="VALOR" dataDxfId="34"/>
    <tableColumn id="9" xr3:uid="{BC432975-3340-4D1E-B758-96B826DA761A}" name="SISTEMA" dataDxfId="33">
      <calculatedColumnFormula>IFERROR(IF(VLOOKUP(Tabela162[[#This Row],[NF]],Tabela33[NF],1,FALSE),"CONSTA","NÃO CONSTA"),"NÃO CONSTA")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5EAC992-33C6-49DA-B78D-3AF2C94150C0}" name="Tabela33" displayName="Tabela33" ref="B4:F37" totalsRowShown="0" headerRowDxfId="32">
  <autoFilter ref="B4:F37" xr:uid="{D391E4A8-7899-467A-A753-1516AD72F4F8}"/>
  <tableColumns count="5">
    <tableColumn id="1" xr3:uid="{ABAED9F2-FB1D-43B8-B5ED-4D5C331B782E}" name="Entrada" dataDxfId="31"/>
    <tableColumn id="2" xr3:uid="{8735A4B7-1756-4ADD-B225-54B0460D18CD}" name="NF"/>
    <tableColumn id="3" xr3:uid="{F2745EC1-DDB2-40D5-AA3C-3495308BFBD1}" name="Fornecedor"/>
    <tableColumn id="4" xr3:uid="{987B46EF-CD30-4A9A-ACC6-6DC2ED92BE0F}" name="Vlr. Nota" dataDxfId="30" dataCellStyle="Moeda"/>
    <tableColumn id="5" xr3:uid="{F96BD6C0-9556-43E2-98CE-BC672847305E}" name="Data Emissão" dataDxfId="29"/>
  </tableColumns>
  <tableStyleInfo name="TableStyleMedium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C3613C3-401D-49E2-A498-C6A6634D2705}" name="Tabela1626" displayName="Tabela1626" ref="B4:K47" totalsRowShown="0" headerRowDxfId="28" headerRowBorderDxfId="27" tableBorderDxfId="26">
  <autoFilter ref="B4:K47" xr:uid="{DD84B4CA-ED54-4D67-9EB6-1214193FD6F7}"/>
  <tableColumns count="10">
    <tableColumn id="1" xr3:uid="{990C14BE-616C-41E9-A414-EC28D5F1E1E5}" name="UF" dataDxfId="25"/>
    <tableColumn id="2" xr3:uid="{866670FA-6C1D-4365-A3D4-44C10F3F4706}" name="NF" dataDxfId="24"/>
    <tableColumn id="10" xr3:uid="{9206B282-B6A3-4987-AC16-FCF2129031AB}" name="CFOP" dataDxfId="23"/>
    <tableColumn id="3" xr3:uid="{8527CEB9-A390-44E3-9E1A-CCE9F465F51E}" name="EMISSAO" dataDxfId="22"/>
    <tableColumn id="4" xr3:uid="{1FFFDC52-530D-4BEE-B115-FD4785F911CC}" name="CNPJ EMISSOR" dataDxfId="21"/>
    <tableColumn id="5" xr3:uid="{D5F7CD92-7AA9-4535-BC65-72C1459E1743}" name="CNPJ-CPF DESTINATARIO" dataDxfId="20"/>
    <tableColumn id="6" xr3:uid="{071FCC13-82B6-4248-8D94-275AF938B895}" name="SITUACAO" dataDxfId="19"/>
    <tableColumn id="7" xr3:uid="{6809CDC6-498B-4BBA-B1CC-5FE632E8D733}" name="TIPO" dataDxfId="18"/>
    <tableColumn id="8" xr3:uid="{AC4BC06F-DEE7-45F8-8AE1-25EF62E219D6}" name="VALOR" dataDxfId="17"/>
    <tableColumn id="9" xr3:uid="{4586BF1F-8EBD-4B69-8AA1-35D44B5C44EE}" name="SISTEMA" dataDxfId="16">
      <calculatedColumnFormula>IFERROR(IF(VLOOKUP(Tabela1626[[#This Row],[NF]],Tabela337[NF],1,FALSE),"CONSTA","NÃO CONSTA"),"NÃO CONSTA")</calculatedColumnFormula>
    </tableColumn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79E31D3-F34D-4AFE-8915-3E126FB5DB9B}" name="Tabela337" displayName="Tabela337" ref="B4:F37" totalsRowShown="0" headerRowDxfId="15">
  <autoFilter ref="B4:F37" xr:uid="{D391E4A8-7899-467A-A753-1516AD72F4F8}"/>
  <tableColumns count="5">
    <tableColumn id="1" xr3:uid="{182577C9-3D0D-4565-B34B-EAC13D1B5B3E}" name="Entrada" dataDxfId="14"/>
    <tableColumn id="2" xr3:uid="{75BC9A9A-6899-4538-9B26-04784A1A7CE2}" name="NF"/>
    <tableColumn id="3" xr3:uid="{0190ACDF-669A-4935-B86A-E5971EBCC79E}" name="Fornecedor"/>
    <tableColumn id="4" xr3:uid="{9AE40F4E-8E60-445E-AA9F-0833EA25ADA7}" name="Vlr. Nota" dataDxfId="13" dataCellStyle="Moeda"/>
    <tableColumn id="5" xr3:uid="{08FA8896-1D4A-4445-834E-EB1B36F5FECD}" name="Data Emissão" dataDxfId="12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3B2CF-23A6-4242-A75C-F2DEED364E5D}">
  <dimension ref="B1:I14"/>
  <sheetViews>
    <sheetView showGridLines="0" tabSelected="1" workbookViewId="0"/>
  </sheetViews>
  <sheetFormatPr defaultRowHeight="14.4" x14ac:dyDescent="0.3"/>
  <cols>
    <col min="1" max="1" width="1.8984375" customWidth="1"/>
    <col min="2" max="2" width="19.296875" bestFit="1" customWidth="1"/>
    <col min="3" max="3" width="5.69921875" customWidth="1"/>
    <col min="4" max="4" width="1.8984375" customWidth="1"/>
    <col min="5" max="5" width="19.296875" bestFit="1" customWidth="1"/>
    <col min="6" max="6" width="5.69921875" customWidth="1"/>
    <col min="7" max="7" width="1.8984375" customWidth="1"/>
    <col min="8" max="8" width="19.296875" bestFit="1" customWidth="1"/>
    <col min="9" max="9" width="5.69921875" customWidth="1"/>
  </cols>
  <sheetData>
    <row r="1" spans="2:9" ht="62.25" customHeight="1" x14ac:dyDescent="0.3"/>
    <row r="8" spans="2:9" ht="15" thickBot="1" x14ac:dyDescent="0.35"/>
    <row r="9" spans="2:9" ht="15" thickBot="1" x14ac:dyDescent="0.35">
      <c r="B9" s="31" t="s">
        <v>36</v>
      </c>
      <c r="C9" s="32"/>
      <c r="E9" s="31" t="s">
        <v>37</v>
      </c>
      <c r="F9" s="32"/>
      <c r="H9" s="31" t="s">
        <v>39</v>
      </c>
      <c r="I9" s="32"/>
    </row>
    <row r="10" spans="2:9" x14ac:dyDescent="0.3">
      <c r="B10" s="25" t="s">
        <v>41</v>
      </c>
      <c r="C10" s="28">
        <f>COUNT(Tabela16[NF])</f>
        <v>43</v>
      </c>
      <c r="E10" s="25" t="s">
        <v>41</v>
      </c>
      <c r="F10" s="28">
        <f>COUNT(Tabela162[NF])</f>
        <v>43</v>
      </c>
      <c r="H10" s="25" t="s">
        <v>41</v>
      </c>
      <c r="I10" s="28">
        <f>COUNT(Tabela1626[NF])</f>
        <v>43</v>
      </c>
    </row>
    <row r="11" spans="2:9" x14ac:dyDescent="0.3">
      <c r="B11" s="26" t="s">
        <v>44</v>
      </c>
      <c r="C11" s="29">
        <f>COUNT(Tabela3[NF])</f>
        <v>33</v>
      </c>
      <c r="E11" s="26" t="s">
        <v>44</v>
      </c>
      <c r="F11" s="29">
        <f>COUNT(Tabela33[NF])</f>
        <v>33</v>
      </c>
      <c r="H11" s="26" t="s">
        <v>42</v>
      </c>
      <c r="I11" s="29">
        <f>COUNT(Tabela337[NF])</f>
        <v>33</v>
      </c>
    </row>
    <row r="12" spans="2:9" ht="15" thickBot="1" x14ac:dyDescent="0.35">
      <c r="B12" s="27" t="s">
        <v>43</v>
      </c>
      <c r="C12" s="30">
        <f>COUNTIF(Tabela16[SISTEMA],"NÃO CONSTA")</f>
        <v>22</v>
      </c>
      <c r="E12" s="27" t="s">
        <v>43</v>
      </c>
      <c r="F12" s="30">
        <f>COUNTIF(Tabela162[SISTEMA],"NÃO CONSTA")</f>
        <v>22</v>
      </c>
      <c r="H12" s="27" t="s">
        <v>43</v>
      </c>
      <c r="I12" s="30">
        <f>COUNTIF(Tabela1626[SISTEMA],"NÃO CONSTA")</f>
        <v>10</v>
      </c>
    </row>
    <row r="14" spans="2:9" x14ac:dyDescent="0.3">
      <c r="B14" t="s">
        <v>45</v>
      </c>
    </row>
  </sheetData>
  <mergeCells count="3">
    <mergeCell ref="B9:C9"/>
    <mergeCell ref="E9:F9"/>
    <mergeCell ref="H9:I9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83A07-E609-4E60-857A-7972C43E555D}">
  <dimension ref="B1:R47"/>
  <sheetViews>
    <sheetView showGridLines="0" workbookViewId="0"/>
  </sheetViews>
  <sheetFormatPr defaultRowHeight="14.4" x14ac:dyDescent="0.3"/>
  <cols>
    <col min="1" max="1" width="1.8984375" customWidth="1"/>
    <col min="5" max="5" width="12.5" bestFit="1" customWidth="1"/>
    <col min="6" max="7" width="17.3984375" bestFit="1" customWidth="1"/>
    <col min="8" max="8" width="13.296875" bestFit="1" customWidth="1"/>
    <col min="10" max="10" width="12.5" bestFit="1" customWidth="1"/>
    <col min="11" max="11" width="12.09765625" bestFit="1" customWidth="1"/>
    <col min="12" max="12" width="1.8984375" customWidth="1"/>
  </cols>
  <sheetData>
    <row r="1" spans="2:18" ht="62.35" customHeight="1" x14ac:dyDescent="0.3"/>
    <row r="2" spans="2:18" ht="9.25" customHeight="1" thickBot="1" x14ac:dyDescent="0.35"/>
    <row r="3" spans="2:18" ht="18.45" thickBot="1" x14ac:dyDescent="0.4">
      <c r="B3" s="33" t="s">
        <v>36</v>
      </c>
      <c r="C3" s="34"/>
      <c r="D3" s="33" t="s">
        <v>25</v>
      </c>
      <c r="E3" s="50"/>
      <c r="F3" s="50"/>
      <c r="G3" s="50"/>
      <c r="H3" s="50"/>
      <c r="I3" s="50"/>
      <c r="J3" s="50"/>
      <c r="K3" s="34"/>
    </row>
    <row r="4" spans="2:18" ht="29.4" thickBot="1" x14ac:dyDescent="0.35">
      <c r="B4" s="6" t="s">
        <v>12</v>
      </c>
      <c r="C4" s="7" t="s">
        <v>1</v>
      </c>
      <c r="D4" s="7" t="s">
        <v>13</v>
      </c>
      <c r="E4" s="7" t="s">
        <v>14</v>
      </c>
      <c r="F4" s="7" t="s">
        <v>15</v>
      </c>
      <c r="G4" s="8" t="s">
        <v>16</v>
      </c>
      <c r="H4" s="7" t="s">
        <v>17</v>
      </c>
      <c r="I4" s="7" t="s">
        <v>18</v>
      </c>
      <c r="J4" s="7" t="s">
        <v>19</v>
      </c>
      <c r="K4" s="9" t="s">
        <v>20</v>
      </c>
    </row>
    <row r="5" spans="2:18" ht="15" thickBot="1" x14ac:dyDescent="0.35">
      <c r="B5" s="10" t="s">
        <v>23</v>
      </c>
      <c r="C5" s="11">
        <v>1</v>
      </c>
      <c r="D5" s="12">
        <v>1102</v>
      </c>
      <c r="E5" s="13">
        <v>37653</v>
      </c>
      <c r="F5" s="14">
        <v>10100100100010</v>
      </c>
      <c r="G5" s="14">
        <v>0</v>
      </c>
      <c r="H5" s="11" t="s">
        <v>21</v>
      </c>
      <c r="I5" s="11" t="s">
        <v>22</v>
      </c>
      <c r="J5" s="15">
        <v>706.97005383408396</v>
      </c>
      <c r="K5" s="16" t="str">
        <f>IFERROR(IF(VLOOKUP(Tabela16[[#This Row],[NF]],Tabela3[NF],1,FALSE),"CONSTA","NÃO CONSTA"),"NÃO CONSTA")</f>
        <v>NÃO CONSTA</v>
      </c>
      <c r="M5" s="41" t="s">
        <v>31</v>
      </c>
      <c r="N5" s="42"/>
      <c r="O5" s="43"/>
    </row>
    <row r="6" spans="2:18" x14ac:dyDescent="0.3">
      <c r="B6" s="17" t="s">
        <v>23</v>
      </c>
      <c r="C6" s="18">
        <v>2</v>
      </c>
      <c r="D6" s="12">
        <v>1102</v>
      </c>
      <c r="E6" s="19">
        <v>37653</v>
      </c>
      <c r="F6" s="14">
        <v>210</v>
      </c>
      <c r="G6" s="14">
        <v>0</v>
      </c>
      <c r="H6" s="18" t="s">
        <v>21</v>
      </c>
      <c r="I6" s="18" t="s">
        <v>22</v>
      </c>
      <c r="J6" s="15">
        <v>63.501677862251697</v>
      </c>
      <c r="K6" s="16" t="str">
        <f>IFERROR(IF(VLOOKUP(Tabela16[[#This Row],[NF]],Tabela3[NF],1,FALSE),"CONSTA","NÃO CONSTA"),"NÃO CONSTA")</f>
        <v>CONSTA</v>
      </c>
      <c r="M6" s="51" t="s">
        <v>26</v>
      </c>
      <c r="N6" s="52"/>
      <c r="O6" s="53"/>
    </row>
    <row r="7" spans="2:18" x14ac:dyDescent="0.3">
      <c r="B7" s="17" t="s">
        <v>23</v>
      </c>
      <c r="C7" s="18">
        <v>3</v>
      </c>
      <c r="D7" s="12">
        <v>1102</v>
      </c>
      <c r="E7" s="19">
        <v>37653</v>
      </c>
      <c r="F7" s="14">
        <v>320</v>
      </c>
      <c r="G7" s="14">
        <v>0</v>
      </c>
      <c r="H7" s="18" t="s">
        <v>21</v>
      </c>
      <c r="I7" s="18" t="s">
        <v>22</v>
      </c>
      <c r="J7" s="15">
        <v>335.23981553171558</v>
      </c>
      <c r="K7" s="16" t="str">
        <f>IFERROR(IF(VLOOKUP(Tabela16[[#This Row],[NF]],Tabela3[NF],1,FALSE),"CONSTA","NÃO CONSTA"),"NÃO CONSTA")</f>
        <v>NÃO CONSTA</v>
      </c>
      <c r="M7" s="54" t="s">
        <v>27</v>
      </c>
      <c r="N7" s="55"/>
      <c r="O7" s="56"/>
    </row>
    <row r="8" spans="2:18" x14ac:dyDescent="0.3">
      <c r="B8" s="20" t="s">
        <v>23</v>
      </c>
      <c r="C8" s="21">
        <v>4</v>
      </c>
      <c r="D8" s="12">
        <v>1102</v>
      </c>
      <c r="E8" s="22">
        <v>37653</v>
      </c>
      <c r="F8" s="23">
        <v>430</v>
      </c>
      <c r="G8" s="14">
        <v>0</v>
      </c>
      <c r="H8" s="21" t="s">
        <v>21</v>
      </c>
      <c r="I8" s="21" t="s">
        <v>22</v>
      </c>
      <c r="J8" s="15">
        <v>439.57151505412043</v>
      </c>
      <c r="K8" s="24" t="str">
        <f>IFERROR(IF(VLOOKUP(Tabela16[[#This Row],[NF]],Tabela3[NF],1,FALSE),"CONSTA","NÃO CONSTA"),"NÃO CONSTA")</f>
        <v>CONSTA</v>
      </c>
      <c r="M8" s="57" t="s">
        <v>32</v>
      </c>
      <c r="N8" s="58"/>
      <c r="O8" s="59"/>
    </row>
    <row r="9" spans="2:18" x14ac:dyDescent="0.3">
      <c r="B9" s="17" t="s">
        <v>23</v>
      </c>
      <c r="C9" s="18">
        <v>5</v>
      </c>
      <c r="D9" s="12">
        <v>1102</v>
      </c>
      <c r="E9" s="19">
        <v>37654</v>
      </c>
      <c r="F9" s="14">
        <v>540</v>
      </c>
      <c r="G9" s="14">
        <v>0</v>
      </c>
      <c r="H9" s="18" t="s">
        <v>21</v>
      </c>
      <c r="I9" s="18" t="s">
        <v>22</v>
      </c>
      <c r="J9" s="15">
        <v>326.31943248132802</v>
      </c>
      <c r="K9" s="16" t="str">
        <f>IFERROR(IF(VLOOKUP(Tabela16[[#This Row],[NF]],Tabela3[NF],1,FALSE),"CONSTA","NÃO CONSTA"),"NÃO CONSTA")</f>
        <v>NÃO CONSTA</v>
      </c>
      <c r="M9" s="54" t="s">
        <v>30</v>
      </c>
      <c r="N9" s="55"/>
      <c r="O9" s="56"/>
    </row>
    <row r="10" spans="2:18" ht="15" thickBot="1" x14ac:dyDescent="0.35">
      <c r="B10" s="17" t="s">
        <v>23</v>
      </c>
      <c r="C10" s="18">
        <v>6</v>
      </c>
      <c r="D10" s="12">
        <v>1102</v>
      </c>
      <c r="E10" s="19">
        <v>37654</v>
      </c>
      <c r="F10" s="14">
        <v>650</v>
      </c>
      <c r="G10" s="14">
        <v>0</v>
      </c>
      <c r="H10" s="18" t="s">
        <v>21</v>
      </c>
      <c r="I10" s="18" t="s">
        <v>22</v>
      </c>
      <c r="J10" s="15">
        <v>783.41079789866785</v>
      </c>
      <c r="K10" s="16" t="str">
        <f>IFERROR(IF(VLOOKUP(Tabela16[[#This Row],[NF]],Tabela3[NF],1,FALSE),"CONSTA","NÃO CONSTA"),"NÃO CONSTA")</f>
        <v>CONSTA</v>
      </c>
      <c r="M10" s="38" t="s">
        <v>29</v>
      </c>
      <c r="N10" s="39"/>
      <c r="O10" s="40"/>
    </row>
    <row r="11" spans="2:18" ht="15" thickBot="1" x14ac:dyDescent="0.35">
      <c r="B11" s="17" t="s">
        <v>23</v>
      </c>
      <c r="C11" s="18">
        <v>7</v>
      </c>
      <c r="D11" s="12">
        <v>1102</v>
      </c>
      <c r="E11" s="19">
        <v>37654</v>
      </c>
      <c r="F11" s="14">
        <v>760</v>
      </c>
      <c r="G11" s="14">
        <v>0</v>
      </c>
      <c r="H11" s="18" t="s">
        <v>21</v>
      </c>
      <c r="I11" s="18" t="s">
        <v>22</v>
      </c>
      <c r="J11" s="15">
        <v>745.20365762531878</v>
      </c>
      <c r="K11" s="16" t="str">
        <f>IFERROR(IF(VLOOKUP(Tabela16[[#This Row],[NF]],Tabela3[NF],1,FALSE),"CONSTA","NÃO CONSTA"),"NÃO CONSTA")</f>
        <v>NÃO CONSTA</v>
      </c>
    </row>
    <row r="12" spans="2:18" ht="15" thickBot="1" x14ac:dyDescent="0.35">
      <c r="B12" s="17" t="s">
        <v>23</v>
      </c>
      <c r="C12" s="18">
        <v>8</v>
      </c>
      <c r="D12" s="12">
        <v>1102</v>
      </c>
      <c r="E12" s="19">
        <v>37654</v>
      </c>
      <c r="F12" s="14">
        <v>870</v>
      </c>
      <c r="G12" s="14">
        <v>0</v>
      </c>
      <c r="H12" s="18" t="s">
        <v>21</v>
      </c>
      <c r="I12" s="18" t="s">
        <v>22</v>
      </c>
      <c r="J12" s="15">
        <v>167.42065440777475</v>
      </c>
      <c r="K12" s="16" t="str">
        <f>IFERROR(IF(VLOOKUP(Tabela16[[#This Row],[NF]],Tabela3[NF],1,FALSE),"CONSTA","NÃO CONSTA"),"NÃO CONSTA")</f>
        <v>CONSTA</v>
      </c>
      <c r="M12" s="41" t="s">
        <v>35</v>
      </c>
      <c r="N12" s="42"/>
      <c r="O12" s="42"/>
      <c r="P12" s="42"/>
      <c r="Q12" s="42"/>
      <c r="R12" s="43"/>
    </row>
    <row r="13" spans="2:18" x14ac:dyDescent="0.3">
      <c r="B13" s="17" t="s">
        <v>23</v>
      </c>
      <c r="C13" s="18">
        <v>9</v>
      </c>
      <c r="D13" s="12">
        <v>1102</v>
      </c>
      <c r="E13" s="19">
        <v>37654</v>
      </c>
      <c r="F13" s="14">
        <v>980</v>
      </c>
      <c r="G13" s="14">
        <v>0</v>
      </c>
      <c r="H13" s="18" t="s">
        <v>21</v>
      </c>
      <c r="I13" s="18" t="s">
        <v>22</v>
      </c>
      <c r="J13" s="15">
        <v>268.4543087013962</v>
      </c>
      <c r="K13" s="16" t="str">
        <f>IFERROR(IF(VLOOKUP(Tabela16[[#This Row],[NF]],Tabela3[NF],1,FALSE),"CONSTA","NÃO CONSTA"),"NÃO CONSTA")</f>
        <v>NÃO CONSTA</v>
      </c>
      <c r="M13" s="44" t="s">
        <v>33</v>
      </c>
      <c r="N13" s="45"/>
      <c r="O13" s="45"/>
      <c r="P13" s="45"/>
      <c r="Q13" s="45"/>
      <c r="R13" s="46"/>
    </row>
    <row r="14" spans="2:18" x14ac:dyDescent="0.3">
      <c r="B14" s="17" t="s">
        <v>23</v>
      </c>
      <c r="C14" s="18">
        <v>10</v>
      </c>
      <c r="D14" s="12">
        <v>1102</v>
      </c>
      <c r="E14" s="19">
        <v>37654</v>
      </c>
      <c r="F14" s="14">
        <v>1090</v>
      </c>
      <c r="G14" s="14">
        <v>0</v>
      </c>
      <c r="H14" s="18" t="s">
        <v>21</v>
      </c>
      <c r="I14" s="18" t="s">
        <v>22</v>
      </c>
      <c r="J14" s="15">
        <v>449.11889027298866</v>
      </c>
      <c r="K14" s="16" t="str">
        <f>IFERROR(IF(VLOOKUP(Tabela16[[#This Row],[NF]],Tabela3[NF],1,FALSE),"CONSTA","NÃO CONSTA"),"NÃO CONSTA")</f>
        <v>CONSTA</v>
      </c>
      <c r="M14" s="47" t="s">
        <v>34</v>
      </c>
      <c r="N14" s="48"/>
      <c r="O14" s="48"/>
      <c r="P14" s="48"/>
      <c r="Q14" s="48"/>
      <c r="R14" s="49"/>
    </row>
    <row r="15" spans="2:18" ht="15" thickBot="1" x14ac:dyDescent="0.35">
      <c r="B15" s="17" t="s">
        <v>23</v>
      </c>
      <c r="C15" s="21">
        <v>11</v>
      </c>
      <c r="D15" s="12">
        <v>1102</v>
      </c>
      <c r="E15" s="19">
        <v>37655</v>
      </c>
      <c r="F15" s="23">
        <v>1200</v>
      </c>
      <c r="G15" s="14">
        <v>0</v>
      </c>
      <c r="H15" s="18" t="s">
        <v>21</v>
      </c>
      <c r="I15" s="18" t="s">
        <v>22</v>
      </c>
      <c r="J15" s="15">
        <v>193.37525647327803</v>
      </c>
      <c r="K15" s="16" t="str">
        <f>IFERROR(IF(VLOOKUP(Tabela16[[#This Row],[NF]],Tabela3[NF],1,FALSE),"CONSTA","NÃO CONSTA"),"NÃO CONSTA")</f>
        <v>NÃO CONSTA</v>
      </c>
      <c r="M15" s="35" t="s">
        <v>40</v>
      </c>
      <c r="N15" s="36"/>
      <c r="O15" s="36"/>
      <c r="P15" s="36"/>
      <c r="Q15" s="36"/>
      <c r="R15" s="37"/>
    </row>
    <row r="16" spans="2:18" x14ac:dyDescent="0.3">
      <c r="B16" s="17" t="s">
        <v>23</v>
      </c>
      <c r="C16" s="18">
        <v>12</v>
      </c>
      <c r="D16" s="12">
        <v>1102</v>
      </c>
      <c r="E16" s="19">
        <v>37655</v>
      </c>
      <c r="F16" s="14">
        <v>1310</v>
      </c>
      <c r="G16" s="14">
        <v>0</v>
      </c>
      <c r="H16" s="18" t="s">
        <v>21</v>
      </c>
      <c r="I16" s="18" t="s">
        <v>22</v>
      </c>
      <c r="J16" s="15">
        <v>777.65727070219646</v>
      </c>
      <c r="K16" s="16" t="str">
        <f>IFERROR(IF(VLOOKUP(Tabela16[[#This Row],[NF]],Tabela3[NF],1,FALSE),"CONSTA","NÃO CONSTA"),"NÃO CONSTA")</f>
        <v>CONSTA</v>
      </c>
    </row>
    <row r="17" spans="2:11" x14ac:dyDescent="0.3">
      <c r="B17" s="20" t="s">
        <v>23</v>
      </c>
      <c r="C17" s="18">
        <v>13</v>
      </c>
      <c r="D17" s="12">
        <v>1102</v>
      </c>
      <c r="E17" s="22">
        <v>37655</v>
      </c>
      <c r="F17" s="14">
        <v>1420</v>
      </c>
      <c r="G17" s="14">
        <v>0</v>
      </c>
      <c r="H17" s="21" t="s">
        <v>21</v>
      </c>
      <c r="I17" s="21" t="s">
        <v>22</v>
      </c>
      <c r="J17" s="15">
        <v>594.39570939184466</v>
      </c>
      <c r="K17" s="24" t="str">
        <f>IFERROR(IF(VLOOKUP(Tabela16[[#This Row],[NF]],Tabela3[NF],1,FALSE),"CONSTA","NÃO CONSTA"),"NÃO CONSTA")</f>
        <v>NÃO CONSTA</v>
      </c>
    </row>
    <row r="18" spans="2:11" x14ac:dyDescent="0.3">
      <c r="B18" s="20" t="s">
        <v>23</v>
      </c>
      <c r="C18" s="18">
        <v>14</v>
      </c>
      <c r="D18" s="12">
        <v>1102</v>
      </c>
      <c r="E18" s="22">
        <v>37655</v>
      </c>
      <c r="F18" s="14">
        <v>1530</v>
      </c>
      <c r="G18" s="14">
        <v>0</v>
      </c>
      <c r="H18" s="21" t="s">
        <v>21</v>
      </c>
      <c r="I18" s="21" t="s">
        <v>22</v>
      </c>
      <c r="J18" s="15">
        <v>542.90252495341201</v>
      </c>
      <c r="K18" s="24" t="str">
        <f>IFERROR(IF(VLOOKUP(Tabela16[[#This Row],[NF]],Tabela3[NF],1,FALSE),"CONSTA","NÃO CONSTA"),"NÃO CONSTA")</f>
        <v>CONSTA</v>
      </c>
    </row>
    <row r="19" spans="2:11" x14ac:dyDescent="0.3">
      <c r="B19" s="17" t="s">
        <v>23</v>
      </c>
      <c r="C19" s="18">
        <v>15</v>
      </c>
      <c r="D19" s="12">
        <v>1102</v>
      </c>
      <c r="E19" s="19">
        <v>37655</v>
      </c>
      <c r="F19" s="14">
        <v>1640</v>
      </c>
      <c r="G19" s="14">
        <v>0</v>
      </c>
      <c r="H19" s="18" t="s">
        <v>24</v>
      </c>
      <c r="I19" s="18" t="s">
        <v>22</v>
      </c>
      <c r="J19" s="15">
        <v>663.19162540795946</v>
      </c>
      <c r="K19" s="16" t="str">
        <f>IFERROR(IF(VLOOKUP(Tabela16[[#This Row],[NF]],Tabela3[NF],1,FALSE),"CONSTA","NÃO CONSTA"),"NÃO CONSTA")</f>
        <v>NÃO CONSTA</v>
      </c>
    </row>
    <row r="20" spans="2:11" x14ac:dyDescent="0.3">
      <c r="B20" s="17" t="s">
        <v>23</v>
      </c>
      <c r="C20" s="18">
        <v>16</v>
      </c>
      <c r="D20" s="12">
        <v>1102</v>
      </c>
      <c r="E20" s="19">
        <v>37655</v>
      </c>
      <c r="F20" s="14">
        <v>1750</v>
      </c>
      <c r="G20" s="14">
        <v>0</v>
      </c>
      <c r="H20" s="18" t="s">
        <v>21</v>
      </c>
      <c r="I20" s="18" t="s">
        <v>22</v>
      </c>
      <c r="J20" s="15">
        <v>562.69487231319283</v>
      </c>
      <c r="K20" s="16" t="str">
        <f>IFERROR(IF(VLOOKUP(Tabela16[[#This Row],[NF]],Tabela3[NF],1,FALSE),"CONSTA","NÃO CONSTA"),"NÃO CONSTA")</f>
        <v>CONSTA</v>
      </c>
    </row>
    <row r="21" spans="2:11" x14ac:dyDescent="0.3">
      <c r="B21" s="17" t="s">
        <v>23</v>
      </c>
      <c r="C21" s="18">
        <v>17</v>
      </c>
      <c r="D21" s="12">
        <v>1102</v>
      </c>
      <c r="E21" s="19">
        <v>37655</v>
      </c>
      <c r="F21" s="14">
        <v>1860</v>
      </c>
      <c r="G21" s="14">
        <v>0</v>
      </c>
      <c r="H21" s="18" t="s">
        <v>21</v>
      </c>
      <c r="I21" s="18" t="s">
        <v>22</v>
      </c>
      <c r="J21" s="15">
        <v>613.28678997127861</v>
      </c>
      <c r="K21" s="16" t="str">
        <f>IFERROR(IF(VLOOKUP(Tabela16[[#This Row],[NF]],Tabela3[NF],1,FALSE),"CONSTA","NÃO CONSTA"),"NÃO CONSTA")</f>
        <v>NÃO CONSTA</v>
      </c>
    </row>
    <row r="22" spans="2:11" x14ac:dyDescent="0.3">
      <c r="B22" s="17" t="s">
        <v>23</v>
      </c>
      <c r="C22" s="21">
        <v>18</v>
      </c>
      <c r="D22" s="12">
        <v>1102</v>
      </c>
      <c r="E22" s="19">
        <v>37655</v>
      </c>
      <c r="F22" s="23">
        <v>1970</v>
      </c>
      <c r="G22" s="14">
        <v>0</v>
      </c>
      <c r="H22" s="18" t="s">
        <v>21</v>
      </c>
      <c r="I22" s="18" t="s">
        <v>22</v>
      </c>
      <c r="J22" s="15">
        <v>477.01573058438072</v>
      </c>
      <c r="K22" s="16" t="str">
        <f>IFERROR(IF(VLOOKUP(Tabela16[[#This Row],[NF]],Tabela3[NF],1,FALSE),"CONSTA","NÃO CONSTA"),"NÃO CONSTA")</f>
        <v>CONSTA</v>
      </c>
    </row>
    <row r="23" spans="2:11" x14ac:dyDescent="0.3">
      <c r="B23" s="17" t="s">
        <v>23</v>
      </c>
      <c r="C23" s="18">
        <v>19</v>
      </c>
      <c r="D23" s="12">
        <v>1102</v>
      </c>
      <c r="E23" s="19">
        <v>37656</v>
      </c>
      <c r="F23" s="14">
        <v>2080</v>
      </c>
      <c r="G23" s="14">
        <v>0</v>
      </c>
      <c r="H23" s="18" t="s">
        <v>21</v>
      </c>
      <c r="I23" s="18" t="s">
        <v>22</v>
      </c>
      <c r="J23" s="15">
        <v>13.091295953144177</v>
      </c>
      <c r="K23" s="16" t="str">
        <f>IFERROR(IF(VLOOKUP(Tabela16[[#This Row],[NF]],Tabela3[NF],1,FALSE),"CONSTA","NÃO CONSTA"),"NÃO CONSTA")</f>
        <v>NÃO CONSTA</v>
      </c>
    </row>
    <row r="24" spans="2:11" x14ac:dyDescent="0.3">
      <c r="B24" s="17" t="s">
        <v>23</v>
      </c>
      <c r="C24" s="18">
        <v>20</v>
      </c>
      <c r="D24" s="12">
        <v>1102</v>
      </c>
      <c r="E24" s="19">
        <v>37657</v>
      </c>
      <c r="F24" s="14">
        <v>2190</v>
      </c>
      <c r="G24" s="14">
        <v>0</v>
      </c>
      <c r="H24" s="18" t="s">
        <v>21</v>
      </c>
      <c r="I24" s="18" t="s">
        <v>22</v>
      </c>
      <c r="J24" s="15">
        <v>659.97313529933638</v>
      </c>
      <c r="K24" s="16" t="str">
        <f>IFERROR(IF(VLOOKUP(Tabela16[[#This Row],[NF]],Tabela3[NF],1,FALSE),"CONSTA","NÃO CONSTA"),"NÃO CONSTA")</f>
        <v>CONSTA</v>
      </c>
    </row>
    <row r="25" spans="2:11" x14ac:dyDescent="0.3">
      <c r="B25" s="17" t="s">
        <v>23</v>
      </c>
      <c r="C25" s="18">
        <v>21</v>
      </c>
      <c r="D25" s="12">
        <v>1102</v>
      </c>
      <c r="E25" s="19">
        <v>37658</v>
      </c>
      <c r="F25" s="14">
        <v>2300</v>
      </c>
      <c r="G25" s="14">
        <v>0</v>
      </c>
      <c r="H25" s="18" t="s">
        <v>21</v>
      </c>
      <c r="I25" s="18" t="s">
        <v>22</v>
      </c>
      <c r="J25" s="15">
        <v>701.74664487137545</v>
      </c>
      <c r="K25" s="16" t="str">
        <f>IFERROR(IF(VLOOKUP(Tabela16[[#This Row],[NF]],Tabela3[NF],1,FALSE),"CONSTA","NÃO CONSTA"),"NÃO CONSTA")</f>
        <v>NÃO CONSTA</v>
      </c>
    </row>
    <row r="26" spans="2:11" x14ac:dyDescent="0.3">
      <c r="B26" s="17" t="s">
        <v>23</v>
      </c>
      <c r="C26" s="18">
        <v>22</v>
      </c>
      <c r="D26" s="12">
        <v>1102</v>
      </c>
      <c r="E26" s="19">
        <v>37659</v>
      </c>
      <c r="F26" s="14">
        <v>2410</v>
      </c>
      <c r="G26" s="14">
        <v>0</v>
      </c>
      <c r="H26" s="18" t="s">
        <v>21</v>
      </c>
      <c r="I26" s="18" t="s">
        <v>22</v>
      </c>
      <c r="J26" s="15">
        <v>177.44381151161392</v>
      </c>
      <c r="K26" s="16" t="str">
        <f>IFERROR(IF(VLOOKUP(Tabela16[[#This Row],[NF]],Tabela3[NF],1,FALSE),"CONSTA","NÃO CONSTA"),"NÃO CONSTA")</f>
        <v>CONSTA</v>
      </c>
    </row>
    <row r="27" spans="2:11" x14ac:dyDescent="0.3">
      <c r="B27" s="17" t="s">
        <v>23</v>
      </c>
      <c r="C27" s="18">
        <v>23</v>
      </c>
      <c r="D27" s="12">
        <v>1102</v>
      </c>
      <c r="E27" s="19">
        <v>37660</v>
      </c>
      <c r="F27" s="14">
        <v>2520</v>
      </c>
      <c r="G27" s="14">
        <v>0</v>
      </c>
      <c r="H27" s="18" t="s">
        <v>21</v>
      </c>
      <c r="I27" s="18" t="s">
        <v>22</v>
      </c>
      <c r="J27" s="15">
        <v>865.66043802968295</v>
      </c>
      <c r="K27" s="16" t="str">
        <f>IFERROR(IF(VLOOKUP(Tabela16[[#This Row],[NF]],Tabela3[NF],1,FALSE),"CONSTA","NÃO CONSTA"),"NÃO CONSTA")</f>
        <v>NÃO CONSTA</v>
      </c>
    </row>
    <row r="28" spans="2:11" x14ac:dyDescent="0.3">
      <c r="B28" s="17" t="s">
        <v>23</v>
      </c>
      <c r="C28" s="18">
        <v>24</v>
      </c>
      <c r="D28" s="12">
        <v>1102</v>
      </c>
      <c r="E28" s="19">
        <v>37661</v>
      </c>
      <c r="F28" s="14">
        <v>2630</v>
      </c>
      <c r="G28" s="14">
        <v>0</v>
      </c>
      <c r="H28" s="18" t="s">
        <v>21</v>
      </c>
      <c r="I28" s="18" t="s">
        <v>22</v>
      </c>
      <c r="J28" s="15">
        <v>156.83575259415073</v>
      </c>
      <c r="K28" s="16" t="str">
        <f>IFERROR(IF(VLOOKUP(Tabela16[[#This Row],[NF]],Tabela3[NF],1,FALSE),"CONSTA","NÃO CONSTA"),"NÃO CONSTA")</f>
        <v>CONSTA</v>
      </c>
    </row>
    <row r="29" spans="2:11" x14ac:dyDescent="0.3">
      <c r="B29" s="17" t="s">
        <v>23</v>
      </c>
      <c r="C29" s="21">
        <v>25</v>
      </c>
      <c r="D29" s="12">
        <v>1102</v>
      </c>
      <c r="E29" s="19">
        <v>37662</v>
      </c>
      <c r="F29" s="23">
        <v>2740</v>
      </c>
      <c r="G29" s="14">
        <v>0</v>
      </c>
      <c r="H29" s="18" t="s">
        <v>21</v>
      </c>
      <c r="I29" s="18" t="s">
        <v>22</v>
      </c>
      <c r="J29" s="15">
        <v>861.41085419041144</v>
      </c>
      <c r="K29" s="16" t="str">
        <f>IFERROR(IF(VLOOKUP(Tabela16[[#This Row],[NF]],Tabela3[NF],1,FALSE),"CONSTA","NÃO CONSTA"),"NÃO CONSTA")</f>
        <v>NÃO CONSTA</v>
      </c>
    </row>
    <row r="30" spans="2:11" x14ac:dyDescent="0.3">
      <c r="B30" s="17" t="s">
        <v>23</v>
      </c>
      <c r="C30" s="18">
        <v>26</v>
      </c>
      <c r="D30" s="12">
        <v>1102</v>
      </c>
      <c r="E30" s="19">
        <v>37663</v>
      </c>
      <c r="F30" s="14">
        <v>2850</v>
      </c>
      <c r="G30" s="14">
        <v>0</v>
      </c>
      <c r="H30" s="18" t="s">
        <v>21</v>
      </c>
      <c r="I30" s="18" t="s">
        <v>22</v>
      </c>
      <c r="J30" s="15">
        <v>699.28060645933977</v>
      </c>
      <c r="K30" s="16" t="str">
        <f>IFERROR(IF(VLOOKUP(Tabela16[[#This Row],[NF]],Tabela3[NF],1,FALSE),"CONSTA","NÃO CONSTA"),"NÃO CONSTA")</f>
        <v>CONSTA</v>
      </c>
    </row>
    <row r="31" spans="2:11" x14ac:dyDescent="0.3">
      <c r="B31" s="17" t="s">
        <v>23</v>
      </c>
      <c r="C31" s="18">
        <v>27</v>
      </c>
      <c r="D31" s="12">
        <v>1102</v>
      </c>
      <c r="E31" s="19">
        <v>37664</v>
      </c>
      <c r="F31" s="14">
        <v>2960</v>
      </c>
      <c r="G31" s="14">
        <v>0</v>
      </c>
      <c r="H31" s="18" t="s">
        <v>21</v>
      </c>
      <c r="I31" s="18" t="s">
        <v>22</v>
      </c>
      <c r="J31" s="15">
        <v>930.00008013206013</v>
      </c>
      <c r="K31" s="16" t="str">
        <f>IFERROR(IF(VLOOKUP(Tabela16[[#This Row],[NF]],Tabela3[NF],1,FALSE),"CONSTA","NÃO CONSTA"),"NÃO CONSTA")</f>
        <v>NÃO CONSTA</v>
      </c>
    </row>
    <row r="32" spans="2:11" x14ac:dyDescent="0.3">
      <c r="B32" s="17" t="s">
        <v>23</v>
      </c>
      <c r="C32" s="18">
        <v>28</v>
      </c>
      <c r="D32" s="12">
        <v>1102</v>
      </c>
      <c r="E32" s="19">
        <v>37665</v>
      </c>
      <c r="F32" s="14">
        <v>3070</v>
      </c>
      <c r="G32" s="14">
        <v>0</v>
      </c>
      <c r="H32" s="18" t="s">
        <v>21</v>
      </c>
      <c r="I32" s="18" t="s">
        <v>22</v>
      </c>
      <c r="J32" s="15">
        <v>957.97119250652952</v>
      </c>
      <c r="K32" s="16" t="str">
        <f>IFERROR(IF(VLOOKUP(Tabela16[[#This Row],[NF]],Tabela3[NF],1,FALSE),"CONSTA","NÃO CONSTA"),"NÃO CONSTA")</f>
        <v>CONSTA</v>
      </c>
    </row>
    <row r="33" spans="2:11" x14ac:dyDescent="0.3">
      <c r="B33" s="17" t="s">
        <v>23</v>
      </c>
      <c r="C33" s="18">
        <v>29</v>
      </c>
      <c r="D33" s="12">
        <v>1102</v>
      </c>
      <c r="E33" s="19">
        <v>37666</v>
      </c>
      <c r="F33" s="14">
        <v>3180</v>
      </c>
      <c r="G33" s="14">
        <v>0</v>
      </c>
      <c r="H33" s="18" t="s">
        <v>21</v>
      </c>
      <c r="I33" s="18" t="s">
        <v>22</v>
      </c>
      <c r="J33" s="15">
        <v>783.76922811050315</v>
      </c>
      <c r="K33" s="16" t="str">
        <f>IFERROR(IF(VLOOKUP(Tabela16[[#This Row],[NF]],Tabela3[NF],1,FALSE),"CONSTA","NÃO CONSTA"),"NÃO CONSTA")</f>
        <v>NÃO CONSTA</v>
      </c>
    </row>
    <row r="34" spans="2:11" x14ac:dyDescent="0.3">
      <c r="B34" s="17" t="s">
        <v>23</v>
      </c>
      <c r="C34" s="18">
        <v>30</v>
      </c>
      <c r="D34" s="12">
        <v>1102</v>
      </c>
      <c r="E34" s="19">
        <v>37667</v>
      </c>
      <c r="F34" s="14">
        <v>3290</v>
      </c>
      <c r="G34" s="14">
        <v>0</v>
      </c>
      <c r="H34" s="18" t="s">
        <v>21</v>
      </c>
      <c r="I34" s="18" t="s">
        <v>22</v>
      </c>
      <c r="J34" s="15">
        <v>463.28771628991336</v>
      </c>
      <c r="K34" s="16" t="str">
        <f>IFERROR(IF(VLOOKUP(Tabela16[[#This Row],[NF]],Tabela3[NF],1,FALSE),"CONSTA","NÃO CONSTA"),"NÃO CONSTA")</f>
        <v>CONSTA</v>
      </c>
    </row>
    <row r="35" spans="2:11" x14ac:dyDescent="0.3">
      <c r="B35" s="17" t="s">
        <v>23</v>
      </c>
      <c r="C35" s="18">
        <v>31</v>
      </c>
      <c r="D35" s="12">
        <v>1102</v>
      </c>
      <c r="E35" s="19">
        <v>37668</v>
      </c>
      <c r="F35" s="14">
        <v>3400</v>
      </c>
      <c r="G35" s="14">
        <v>0</v>
      </c>
      <c r="H35" s="18" t="s">
        <v>21</v>
      </c>
      <c r="I35" s="18" t="s">
        <v>22</v>
      </c>
      <c r="J35" s="15">
        <v>872.18534549766184</v>
      </c>
      <c r="K35" s="16" t="str">
        <f>IFERROR(IF(VLOOKUP(Tabela16[[#This Row],[NF]],Tabela3[NF],1,FALSE),"CONSTA","NÃO CONSTA"),"NÃO CONSTA")</f>
        <v>NÃO CONSTA</v>
      </c>
    </row>
    <row r="36" spans="2:11" x14ac:dyDescent="0.3">
      <c r="B36" s="17" t="s">
        <v>23</v>
      </c>
      <c r="C36" s="21">
        <v>32</v>
      </c>
      <c r="D36" s="12">
        <v>1102</v>
      </c>
      <c r="E36" s="19">
        <v>37669</v>
      </c>
      <c r="F36" s="23">
        <v>3510</v>
      </c>
      <c r="G36" s="14">
        <v>0</v>
      </c>
      <c r="H36" s="18" t="s">
        <v>21</v>
      </c>
      <c r="I36" s="18" t="s">
        <v>22</v>
      </c>
      <c r="J36" s="15">
        <v>894.83169350566209</v>
      </c>
      <c r="K36" s="16" t="str">
        <f>IFERROR(IF(VLOOKUP(Tabela16[[#This Row],[NF]],Tabela3[NF],1,FALSE),"CONSTA","NÃO CONSTA"),"NÃO CONSTA")</f>
        <v>CONSTA</v>
      </c>
    </row>
    <row r="37" spans="2:11" x14ac:dyDescent="0.3">
      <c r="B37" s="17" t="s">
        <v>23</v>
      </c>
      <c r="C37" s="18">
        <v>33</v>
      </c>
      <c r="D37" s="12">
        <v>1102</v>
      </c>
      <c r="E37" s="19">
        <v>37670</v>
      </c>
      <c r="F37" s="14">
        <v>3620</v>
      </c>
      <c r="G37" s="14">
        <v>0</v>
      </c>
      <c r="H37" s="18" t="s">
        <v>21</v>
      </c>
      <c r="I37" s="18" t="s">
        <v>22</v>
      </c>
      <c r="J37" s="15">
        <v>169.64047557972506</v>
      </c>
      <c r="K37" s="16" t="str">
        <f>IFERROR(IF(VLOOKUP(Tabela16[[#This Row],[NF]],Tabela3[NF],1,FALSE),"CONSTA","NÃO CONSTA"),"NÃO CONSTA")</f>
        <v>NÃO CONSTA</v>
      </c>
    </row>
    <row r="38" spans="2:11" x14ac:dyDescent="0.3">
      <c r="B38" s="17" t="s">
        <v>23</v>
      </c>
      <c r="C38" s="18">
        <v>34</v>
      </c>
      <c r="D38" s="12">
        <v>1102</v>
      </c>
      <c r="E38" s="19">
        <v>37671</v>
      </c>
      <c r="F38" s="14">
        <v>3730</v>
      </c>
      <c r="G38" s="14">
        <v>0</v>
      </c>
      <c r="H38" s="18" t="s">
        <v>21</v>
      </c>
      <c r="I38" s="18" t="s">
        <v>22</v>
      </c>
      <c r="J38" s="15">
        <v>211.70922910654355</v>
      </c>
      <c r="K38" s="16" t="str">
        <f>IFERROR(IF(VLOOKUP(Tabela16[[#This Row],[NF]],Tabela3[NF],1,FALSE),"CONSTA","NÃO CONSTA"),"NÃO CONSTA")</f>
        <v>CONSTA</v>
      </c>
    </row>
    <row r="39" spans="2:11" x14ac:dyDescent="0.3">
      <c r="B39" s="17" t="s">
        <v>23</v>
      </c>
      <c r="C39" s="18">
        <v>35</v>
      </c>
      <c r="D39" s="12">
        <v>1102</v>
      </c>
      <c r="E39" s="19">
        <v>37672</v>
      </c>
      <c r="F39" s="14">
        <v>3840</v>
      </c>
      <c r="G39" s="14">
        <v>0</v>
      </c>
      <c r="H39" s="18" t="s">
        <v>21</v>
      </c>
      <c r="I39" s="18" t="s">
        <v>22</v>
      </c>
      <c r="J39" s="15">
        <v>631.49017481870817</v>
      </c>
      <c r="K39" s="16" t="str">
        <f>IFERROR(IF(VLOOKUP(Tabela16[[#This Row],[NF]],Tabela3[NF],1,FALSE),"CONSTA","NÃO CONSTA"),"NÃO CONSTA")</f>
        <v>NÃO CONSTA</v>
      </c>
    </row>
    <row r="40" spans="2:11" x14ac:dyDescent="0.3">
      <c r="B40" s="17" t="s">
        <v>23</v>
      </c>
      <c r="C40" s="18">
        <v>36</v>
      </c>
      <c r="D40" s="12">
        <v>1102</v>
      </c>
      <c r="E40" s="19">
        <v>37673</v>
      </c>
      <c r="F40" s="14">
        <v>3950</v>
      </c>
      <c r="G40" s="14">
        <v>0</v>
      </c>
      <c r="H40" s="18" t="s">
        <v>21</v>
      </c>
      <c r="I40" s="18" t="s">
        <v>22</v>
      </c>
      <c r="J40" s="15">
        <v>58.755047676871229</v>
      </c>
      <c r="K40" s="16" t="str">
        <f>IFERROR(IF(VLOOKUP(Tabela16[[#This Row],[NF]],Tabela3[NF],1,FALSE),"CONSTA","NÃO CONSTA"),"NÃO CONSTA")</f>
        <v>CONSTA</v>
      </c>
    </row>
    <row r="41" spans="2:11" x14ac:dyDescent="0.3">
      <c r="B41" s="17" t="s">
        <v>23</v>
      </c>
      <c r="C41" s="18">
        <v>37</v>
      </c>
      <c r="D41" s="12">
        <v>1102</v>
      </c>
      <c r="E41" s="19">
        <v>37674</v>
      </c>
      <c r="F41" s="14">
        <v>4060</v>
      </c>
      <c r="G41" s="14">
        <v>0</v>
      </c>
      <c r="H41" s="18" t="s">
        <v>21</v>
      </c>
      <c r="I41" s="18" t="s">
        <v>22</v>
      </c>
      <c r="J41" s="15">
        <v>789.20176458831008</v>
      </c>
      <c r="K41" s="16" t="str">
        <f>IFERROR(IF(VLOOKUP(Tabela16[[#This Row],[NF]],Tabela3[NF],1,FALSE),"CONSTA","NÃO CONSTA"),"NÃO CONSTA")</f>
        <v>NÃO CONSTA</v>
      </c>
    </row>
    <row r="42" spans="2:11" x14ac:dyDescent="0.3">
      <c r="B42" s="17" t="s">
        <v>23</v>
      </c>
      <c r="C42" s="18">
        <v>38</v>
      </c>
      <c r="D42" s="12">
        <v>1102</v>
      </c>
      <c r="E42" s="19">
        <v>37675</v>
      </c>
      <c r="F42" s="14">
        <v>4170</v>
      </c>
      <c r="G42" s="14">
        <v>0</v>
      </c>
      <c r="H42" s="18" t="s">
        <v>21</v>
      </c>
      <c r="I42" s="18" t="s">
        <v>22</v>
      </c>
      <c r="J42" s="15">
        <v>669.66585336670948</v>
      </c>
      <c r="K42" s="16" t="str">
        <f>IFERROR(IF(VLOOKUP(Tabela16[[#This Row],[NF]],Tabela3[NF],1,FALSE),"CONSTA","NÃO CONSTA"),"NÃO CONSTA")</f>
        <v>CONSTA</v>
      </c>
    </row>
    <row r="43" spans="2:11" x14ac:dyDescent="0.3">
      <c r="B43" s="17" t="s">
        <v>23</v>
      </c>
      <c r="C43" s="21">
        <v>39</v>
      </c>
      <c r="D43" s="12">
        <v>1102</v>
      </c>
      <c r="E43" s="19">
        <v>37676</v>
      </c>
      <c r="F43" s="23">
        <v>4280</v>
      </c>
      <c r="G43" s="14">
        <v>0</v>
      </c>
      <c r="H43" s="18" t="s">
        <v>21</v>
      </c>
      <c r="I43" s="18" t="s">
        <v>22</v>
      </c>
      <c r="J43" s="15">
        <v>345.56262805494799</v>
      </c>
      <c r="K43" s="16" t="str">
        <f>IFERROR(IF(VLOOKUP(Tabela16[[#This Row],[NF]],Tabela3[NF],1,FALSE),"CONSTA","NÃO CONSTA"),"NÃO CONSTA")</f>
        <v>NÃO CONSTA</v>
      </c>
    </row>
    <row r="44" spans="2:11" x14ac:dyDescent="0.3">
      <c r="B44" s="17" t="s">
        <v>23</v>
      </c>
      <c r="C44" s="18">
        <v>40</v>
      </c>
      <c r="D44" s="12">
        <v>1102</v>
      </c>
      <c r="E44" s="19">
        <v>37677</v>
      </c>
      <c r="F44" s="14">
        <v>4390</v>
      </c>
      <c r="G44" s="14">
        <v>0</v>
      </c>
      <c r="H44" s="18" t="s">
        <v>21</v>
      </c>
      <c r="I44" s="18" t="s">
        <v>22</v>
      </c>
      <c r="J44" s="15">
        <v>922.12490644783202</v>
      </c>
      <c r="K44" s="16" t="str">
        <f>IFERROR(IF(VLOOKUP(Tabela16[[#This Row],[NF]],Tabela3[NF],1,FALSE),"CONSTA","NÃO CONSTA"),"NÃO CONSTA")</f>
        <v>CONSTA</v>
      </c>
    </row>
    <row r="45" spans="2:11" x14ac:dyDescent="0.3">
      <c r="B45" s="17" t="s">
        <v>23</v>
      </c>
      <c r="C45" s="18">
        <v>41</v>
      </c>
      <c r="D45" s="12">
        <v>1102</v>
      </c>
      <c r="E45" s="19">
        <v>37678</v>
      </c>
      <c r="F45" s="14">
        <v>4500</v>
      </c>
      <c r="G45" s="14">
        <v>0</v>
      </c>
      <c r="H45" s="18" t="s">
        <v>21</v>
      </c>
      <c r="I45" s="18" t="s">
        <v>22</v>
      </c>
      <c r="J45" s="15">
        <v>353.97592712989712</v>
      </c>
      <c r="K45" s="16" t="str">
        <f>IFERROR(IF(VLOOKUP(Tabela16[[#This Row],[NF]],Tabela3[NF],1,FALSE),"CONSTA","NÃO CONSTA"),"NÃO CONSTA")</f>
        <v>NÃO CONSTA</v>
      </c>
    </row>
    <row r="46" spans="2:11" x14ac:dyDescent="0.3">
      <c r="B46" s="17" t="s">
        <v>23</v>
      </c>
      <c r="C46" s="18">
        <v>42</v>
      </c>
      <c r="D46" s="12">
        <v>1102</v>
      </c>
      <c r="E46" s="19">
        <v>37679</v>
      </c>
      <c r="F46" s="14">
        <v>4610</v>
      </c>
      <c r="G46" s="14">
        <v>0</v>
      </c>
      <c r="H46" s="18" t="s">
        <v>21</v>
      </c>
      <c r="I46" s="18" t="s">
        <v>22</v>
      </c>
      <c r="J46" s="15">
        <v>914.52511635586234</v>
      </c>
      <c r="K46" s="16" t="str">
        <f>IFERROR(IF(VLOOKUP(Tabela16[[#This Row],[NF]],Tabela3[NF],1,FALSE),"CONSTA","NÃO CONSTA"),"NÃO CONSTA")</f>
        <v>CONSTA</v>
      </c>
    </row>
    <row r="47" spans="2:11" x14ac:dyDescent="0.3">
      <c r="B47" s="17" t="s">
        <v>23</v>
      </c>
      <c r="C47" s="18">
        <v>43</v>
      </c>
      <c r="D47" s="12">
        <v>1102</v>
      </c>
      <c r="E47" s="19">
        <v>37680</v>
      </c>
      <c r="F47" s="14">
        <v>4720</v>
      </c>
      <c r="G47" s="14">
        <v>0</v>
      </c>
      <c r="H47" s="18" t="s">
        <v>21</v>
      </c>
      <c r="I47" s="18" t="s">
        <v>22</v>
      </c>
      <c r="J47" s="15">
        <v>927.20413766981994</v>
      </c>
      <c r="K47" s="16" t="str">
        <f>IFERROR(IF(VLOOKUP(Tabela16[[#This Row],[NF]],Tabela3[NF],1,FALSE),"CONSTA","NÃO CONSTA"),"NÃO CONSTA")</f>
        <v>NÃO CONSTA</v>
      </c>
    </row>
  </sheetData>
  <mergeCells count="12">
    <mergeCell ref="B3:C3"/>
    <mergeCell ref="M15:R15"/>
    <mergeCell ref="M10:O10"/>
    <mergeCell ref="M12:R12"/>
    <mergeCell ref="M13:R13"/>
    <mergeCell ref="M14:R14"/>
    <mergeCell ref="D3:K3"/>
    <mergeCell ref="M5:O5"/>
    <mergeCell ref="M6:O6"/>
    <mergeCell ref="M7:O7"/>
    <mergeCell ref="M8:O8"/>
    <mergeCell ref="M9:O9"/>
  </mergeCells>
  <conditionalFormatting sqref="B5:K47">
    <cfRule type="expression" dxfId="11" priority="1">
      <formula>$K5="CONSTA"</formula>
    </cfRule>
    <cfRule type="expression" dxfId="10" priority="2">
      <formula>$K5="NÃO CONSTA"</formula>
    </cfRule>
    <cfRule type="expression" dxfId="9" priority="5">
      <formula>$J5="CONSTA"</formula>
    </cfRule>
    <cfRule type="expression" dxfId="8" priority="6">
      <formula>$J5="NÃO CONSTA"</formula>
    </cfRule>
  </conditionalFormatting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F4A8-1BBF-4A8A-BB8A-AE07417D2D58}">
  <dimension ref="B1:J37"/>
  <sheetViews>
    <sheetView showGridLines="0" workbookViewId="0"/>
  </sheetViews>
  <sheetFormatPr defaultRowHeight="14.4" x14ac:dyDescent="0.3"/>
  <cols>
    <col min="1" max="1" width="1.8984375" customWidth="1"/>
    <col min="2" max="2" width="10.296875" style="2" bestFit="1" customWidth="1"/>
    <col min="3" max="3" width="5.8984375" customWidth="1"/>
    <col min="4" max="4" width="20.09765625" customWidth="1"/>
    <col min="5" max="5" width="11" style="1" customWidth="1"/>
    <col min="6" max="6" width="13.19921875" style="2" customWidth="1"/>
  </cols>
  <sheetData>
    <row r="1" spans="2:10" ht="62.35" customHeight="1" x14ac:dyDescent="0.3"/>
    <row r="2" spans="2:10" ht="15" thickBot="1" x14ac:dyDescent="0.35"/>
    <row r="3" spans="2:10" ht="16.7" thickBot="1" x14ac:dyDescent="0.4">
      <c r="B3" s="60" t="s">
        <v>38</v>
      </c>
      <c r="C3" s="61"/>
      <c r="D3" s="61"/>
      <c r="E3" s="61"/>
      <c r="F3" s="62"/>
    </row>
    <row r="4" spans="2:10" ht="15" thickBot="1" x14ac:dyDescent="0.35">
      <c r="B4" s="3" t="s">
        <v>0</v>
      </c>
      <c r="C4" s="4" t="s">
        <v>1</v>
      </c>
      <c r="D4" s="4" t="s">
        <v>2</v>
      </c>
      <c r="E4" s="5" t="s">
        <v>3</v>
      </c>
      <c r="F4" s="3" t="s">
        <v>4</v>
      </c>
      <c r="H4" s="41" t="s">
        <v>31</v>
      </c>
      <c r="I4" s="42"/>
      <c r="J4" s="43"/>
    </row>
    <row r="5" spans="2:10" x14ac:dyDescent="0.3">
      <c r="B5" s="2">
        <v>37654</v>
      </c>
      <c r="C5">
        <v>2</v>
      </c>
      <c r="D5" t="s">
        <v>5</v>
      </c>
      <c r="E5" s="1">
        <v>539.86792612718602</v>
      </c>
      <c r="F5" s="2">
        <v>37653</v>
      </c>
      <c r="H5" s="51" t="s">
        <v>26</v>
      </c>
      <c r="I5" s="52"/>
      <c r="J5" s="53"/>
    </row>
    <row r="6" spans="2:10" x14ac:dyDescent="0.3">
      <c r="B6" s="2">
        <v>37654</v>
      </c>
      <c r="C6">
        <v>4</v>
      </c>
      <c r="D6" t="s">
        <v>6</v>
      </c>
      <c r="E6" s="1">
        <v>392.01572332121384</v>
      </c>
      <c r="F6" s="2">
        <v>37653</v>
      </c>
      <c r="H6" s="54" t="s">
        <v>27</v>
      </c>
      <c r="I6" s="55"/>
      <c r="J6" s="56"/>
    </row>
    <row r="7" spans="2:10" x14ac:dyDescent="0.3">
      <c r="B7" s="2">
        <v>37655</v>
      </c>
      <c r="C7">
        <v>6</v>
      </c>
      <c r="D7" t="s">
        <v>7</v>
      </c>
      <c r="E7" s="1">
        <v>530.61301071052685</v>
      </c>
      <c r="F7" s="2">
        <v>37654</v>
      </c>
      <c r="H7" s="57" t="s">
        <v>28</v>
      </c>
      <c r="I7" s="58"/>
      <c r="J7" s="59"/>
    </row>
    <row r="8" spans="2:10" x14ac:dyDescent="0.3">
      <c r="B8" s="2">
        <v>37655</v>
      </c>
      <c r="C8">
        <v>8</v>
      </c>
      <c r="D8" t="s">
        <v>8</v>
      </c>
      <c r="E8" s="1">
        <v>613.32757696913711</v>
      </c>
      <c r="F8" s="2">
        <v>37654</v>
      </c>
      <c r="H8" s="54" t="s">
        <v>30</v>
      </c>
      <c r="I8" s="55"/>
      <c r="J8" s="56"/>
    </row>
    <row r="9" spans="2:10" ht="15" thickBot="1" x14ac:dyDescent="0.35">
      <c r="B9" s="2">
        <v>37655</v>
      </c>
      <c r="C9">
        <v>10</v>
      </c>
      <c r="D9" t="s">
        <v>9</v>
      </c>
      <c r="E9" s="1">
        <v>133.74316743006264</v>
      </c>
      <c r="F9" s="2">
        <v>37654</v>
      </c>
      <c r="H9" s="38" t="s">
        <v>29</v>
      </c>
      <c r="I9" s="39"/>
      <c r="J9" s="40"/>
    </row>
    <row r="10" spans="2:10" x14ac:dyDescent="0.3">
      <c r="B10" s="2">
        <v>37656</v>
      </c>
      <c r="C10">
        <v>12</v>
      </c>
      <c r="D10" t="s">
        <v>10</v>
      </c>
      <c r="E10" s="1">
        <v>76.626460816430097</v>
      </c>
      <c r="F10" s="2">
        <v>37655</v>
      </c>
    </row>
    <row r="11" spans="2:10" x14ac:dyDescent="0.3">
      <c r="B11" s="2">
        <v>37656</v>
      </c>
      <c r="C11">
        <v>14</v>
      </c>
      <c r="D11" t="s">
        <v>11</v>
      </c>
      <c r="E11" s="1">
        <v>171.56686125418119</v>
      </c>
      <c r="F11" s="2">
        <v>37655</v>
      </c>
    </row>
    <row r="12" spans="2:10" x14ac:dyDescent="0.3">
      <c r="B12" s="2">
        <v>37656</v>
      </c>
      <c r="C12">
        <v>16</v>
      </c>
      <c r="D12" t="s">
        <v>5</v>
      </c>
      <c r="E12" s="1">
        <v>989.48629762227824</v>
      </c>
      <c r="F12" s="2">
        <v>37655</v>
      </c>
    </row>
    <row r="13" spans="2:10" x14ac:dyDescent="0.3">
      <c r="B13" s="2">
        <v>37656</v>
      </c>
      <c r="C13">
        <v>18</v>
      </c>
      <c r="D13" t="s">
        <v>6</v>
      </c>
      <c r="E13" s="1">
        <v>27.719160788376442</v>
      </c>
      <c r="F13" s="2">
        <v>37655</v>
      </c>
    </row>
    <row r="14" spans="2:10" x14ac:dyDescent="0.3">
      <c r="B14" s="2">
        <v>37657</v>
      </c>
      <c r="C14">
        <v>20</v>
      </c>
      <c r="D14" t="s">
        <v>7</v>
      </c>
      <c r="E14" s="1">
        <v>113.68134235442162</v>
      </c>
      <c r="F14" s="2">
        <v>37656</v>
      </c>
    </row>
    <row r="15" spans="2:10" x14ac:dyDescent="0.3">
      <c r="B15" s="2">
        <v>37658</v>
      </c>
      <c r="C15">
        <v>22</v>
      </c>
      <c r="D15" t="s">
        <v>8</v>
      </c>
      <c r="E15" s="1">
        <v>377.58455072202759</v>
      </c>
      <c r="F15" s="2">
        <v>37657</v>
      </c>
    </row>
    <row r="16" spans="2:10" x14ac:dyDescent="0.3">
      <c r="B16" s="2">
        <v>37659</v>
      </c>
      <c r="C16">
        <v>24</v>
      </c>
      <c r="D16" t="s">
        <v>9</v>
      </c>
      <c r="E16" s="1">
        <v>611.87461332598332</v>
      </c>
      <c r="F16" s="2">
        <v>37658</v>
      </c>
    </row>
    <row r="17" spans="2:6" x14ac:dyDescent="0.3">
      <c r="B17" s="2">
        <v>37660</v>
      </c>
      <c r="C17">
        <v>26</v>
      </c>
      <c r="D17" t="s">
        <v>10</v>
      </c>
      <c r="E17" s="1">
        <v>549.0828032686311</v>
      </c>
      <c r="F17" s="2">
        <v>37659</v>
      </c>
    </row>
    <row r="18" spans="2:6" x14ac:dyDescent="0.3">
      <c r="B18" s="2">
        <v>37661</v>
      </c>
      <c r="C18">
        <v>28</v>
      </c>
      <c r="D18" t="s">
        <v>11</v>
      </c>
      <c r="E18" s="1">
        <v>386.17725302545591</v>
      </c>
      <c r="F18" s="2">
        <v>37660</v>
      </c>
    </row>
    <row r="19" spans="2:6" x14ac:dyDescent="0.3">
      <c r="B19" s="2">
        <v>37662</v>
      </c>
      <c r="C19">
        <v>30</v>
      </c>
      <c r="D19" t="s">
        <v>5</v>
      </c>
      <c r="E19" s="1">
        <v>947.71434261341028</v>
      </c>
      <c r="F19" s="2">
        <v>37661</v>
      </c>
    </row>
    <row r="20" spans="2:6" x14ac:dyDescent="0.3">
      <c r="B20" s="2">
        <v>37663</v>
      </c>
      <c r="C20">
        <v>32</v>
      </c>
      <c r="D20" t="s">
        <v>6</v>
      </c>
      <c r="E20" s="1">
        <v>116.34540487358791</v>
      </c>
      <c r="F20" s="2">
        <v>37662</v>
      </c>
    </row>
    <row r="21" spans="2:6" x14ac:dyDescent="0.3">
      <c r="B21" s="2">
        <v>37664</v>
      </c>
      <c r="C21">
        <v>34</v>
      </c>
      <c r="D21" t="s">
        <v>7</v>
      </c>
      <c r="E21" s="1">
        <v>889.5731109084295</v>
      </c>
      <c r="F21" s="2">
        <v>37663</v>
      </c>
    </row>
    <row r="22" spans="2:6" x14ac:dyDescent="0.3">
      <c r="B22" s="2">
        <v>37665</v>
      </c>
      <c r="C22">
        <v>36</v>
      </c>
      <c r="D22" t="s">
        <v>8</v>
      </c>
      <c r="E22" s="1">
        <v>703.06076509712568</v>
      </c>
      <c r="F22" s="2">
        <v>37664</v>
      </c>
    </row>
    <row r="23" spans="2:6" x14ac:dyDescent="0.3">
      <c r="B23" s="2">
        <v>37666</v>
      </c>
      <c r="C23">
        <v>38</v>
      </c>
      <c r="D23" t="s">
        <v>9</v>
      </c>
      <c r="E23" s="1">
        <v>833.72745418559282</v>
      </c>
      <c r="F23" s="2">
        <v>37665</v>
      </c>
    </row>
    <row r="24" spans="2:6" x14ac:dyDescent="0.3">
      <c r="B24" s="2">
        <v>37667</v>
      </c>
      <c r="C24">
        <v>40</v>
      </c>
      <c r="D24" t="s">
        <v>10</v>
      </c>
      <c r="E24" s="1">
        <v>497.90266022728827</v>
      </c>
      <c r="F24" s="2">
        <v>37666</v>
      </c>
    </row>
    <row r="25" spans="2:6" x14ac:dyDescent="0.3">
      <c r="B25" s="2">
        <v>37668</v>
      </c>
      <c r="C25">
        <v>42</v>
      </c>
      <c r="D25" t="s">
        <v>11</v>
      </c>
      <c r="E25" s="1">
        <v>15.53339342632043</v>
      </c>
      <c r="F25" s="2">
        <v>37667</v>
      </c>
    </row>
    <row r="26" spans="2:6" x14ac:dyDescent="0.3">
      <c r="B26" s="2">
        <v>37669</v>
      </c>
      <c r="C26">
        <v>44</v>
      </c>
      <c r="D26" t="s">
        <v>5</v>
      </c>
      <c r="E26" s="1">
        <v>262.3280805237419</v>
      </c>
      <c r="F26" s="2">
        <v>37668</v>
      </c>
    </row>
    <row r="27" spans="2:6" x14ac:dyDescent="0.3">
      <c r="B27" s="2">
        <v>37670</v>
      </c>
      <c r="C27">
        <v>46</v>
      </c>
      <c r="D27" t="s">
        <v>6</v>
      </c>
      <c r="E27" s="1">
        <v>754.53234537737205</v>
      </c>
      <c r="F27" s="2">
        <v>37669</v>
      </c>
    </row>
    <row r="28" spans="2:6" x14ac:dyDescent="0.3">
      <c r="B28" s="2">
        <v>37671</v>
      </c>
      <c r="C28">
        <v>48</v>
      </c>
      <c r="D28" t="s">
        <v>7</v>
      </c>
      <c r="E28" s="1">
        <v>306.55117202444961</v>
      </c>
      <c r="F28" s="2">
        <v>37670</v>
      </c>
    </row>
    <row r="29" spans="2:6" x14ac:dyDescent="0.3">
      <c r="B29" s="2">
        <v>37672</v>
      </c>
      <c r="C29">
        <v>50</v>
      </c>
      <c r="D29" t="s">
        <v>8</v>
      </c>
      <c r="E29" s="1">
        <v>961.29234990679049</v>
      </c>
      <c r="F29" s="2">
        <v>37671</v>
      </c>
    </row>
    <row r="30" spans="2:6" x14ac:dyDescent="0.3">
      <c r="B30" s="2">
        <v>37673</v>
      </c>
      <c r="C30">
        <v>52</v>
      </c>
      <c r="D30" t="s">
        <v>9</v>
      </c>
      <c r="E30" s="1">
        <v>37.73017163621639</v>
      </c>
      <c r="F30" s="2">
        <v>37672</v>
      </c>
    </row>
    <row r="31" spans="2:6" x14ac:dyDescent="0.3">
      <c r="B31" s="2">
        <v>37674</v>
      </c>
      <c r="C31">
        <v>54</v>
      </c>
      <c r="D31" t="s">
        <v>10</v>
      </c>
      <c r="E31" s="1">
        <v>978.60190728318798</v>
      </c>
      <c r="F31" s="2">
        <v>37673</v>
      </c>
    </row>
    <row r="32" spans="2:6" x14ac:dyDescent="0.3">
      <c r="B32" s="2">
        <v>37675</v>
      </c>
      <c r="C32">
        <v>56</v>
      </c>
      <c r="D32" t="s">
        <v>11</v>
      </c>
      <c r="E32" s="1">
        <v>200.31554165480691</v>
      </c>
      <c r="F32" s="2">
        <v>37674</v>
      </c>
    </row>
    <row r="33" spans="2:6" x14ac:dyDescent="0.3">
      <c r="B33" s="2">
        <v>37676</v>
      </c>
      <c r="C33">
        <v>58</v>
      </c>
      <c r="D33" t="s">
        <v>5</v>
      </c>
      <c r="E33" s="1">
        <v>855.84720465880423</v>
      </c>
      <c r="F33" s="2">
        <v>37675</v>
      </c>
    </row>
    <row r="34" spans="2:6" x14ac:dyDescent="0.3">
      <c r="B34" s="2">
        <v>37677</v>
      </c>
      <c r="C34">
        <v>60</v>
      </c>
      <c r="D34" t="s">
        <v>6</v>
      </c>
      <c r="E34" s="1">
        <v>783.5345602899489</v>
      </c>
      <c r="F34" s="2">
        <v>37676</v>
      </c>
    </row>
    <row r="35" spans="2:6" x14ac:dyDescent="0.3">
      <c r="B35" s="2">
        <v>37678</v>
      </c>
      <c r="C35">
        <v>62</v>
      </c>
      <c r="D35" t="s">
        <v>7</v>
      </c>
      <c r="E35" s="1">
        <v>652.01055926200956</v>
      </c>
      <c r="F35" s="2">
        <v>37677</v>
      </c>
    </row>
    <row r="36" spans="2:6" x14ac:dyDescent="0.3">
      <c r="B36" s="2">
        <v>37679</v>
      </c>
      <c r="C36">
        <v>64</v>
      </c>
      <c r="D36" t="s">
        <v>8</v>
      </c>
      <c r="E36" s="1">
        <v>103.39973863289742</v>
      </c>
      <c r="F36" s="2">
        <v>37678</v>
      </c>
    </row>
    <row r="37" spans="2:6" x14ac:dyDescent="0.3">
      <c r="B37" s="2">
        <v>37680</v>
      </c>
      <c r="C37">
        <v>66</v>
      </c>
      <c r="D37" t="s">
        <v>9</v>
      </c>
      <c r="E37" s="1">
        <v>388.11979509703798</v>
      </c>
      <c r="F37" s="2">
        <v>37679</v>
      </c>
    </row>
  </sheetData>
  <mergeCells count="7">
    <mergeCell ref="H9:J9"/>
    <mergeCell ref="H4:J4"/>
    <mergeCell ref="B3:F3"/>
    <mergeCell ref="H5:J5"/>
    <mergeCell ref="H6:J6"/>
    <mergeCell ref="H7:J7"/>
    <mergeCell ref="H8:J8"/>
  </mergeCell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7BC46-4AF5-4D7E-9661-93DF729A1AC1}">
  <dimension ref="B1:R47"/>
  <sheetViews>
    <sheetView showGridLines="0" workbookViewId="0"/>
  </sheetViews>
  <sheetFormatPr defaultRowHeight="14.4" x14ac:dyDescent="0.3"/>
  <cols>
    <col min="1" max="1" width="1.8984375" customWidth="1"/>
    <col min="5" max="5" width="12.5" bestFit="1" customWidth="1"/>
    <col min="6" max="7" width="17.3984375" bestFit="1" customWidth="1"/>
    <col min="8" max="8" width="13.296875" bestFit="1" customWidth="1"/>
    <col min="10" max="10" width="12.5" bestFit="1" customWidth="1"/>
    <col min="11" max="11" width="12.09765625" bestFit="1" customWidth="1"/>
    <col min="12" max="12" width="1.8984375" customWidth="1"/>
  </cols>
  <sheetData>
    <row r="1" spans="2:18" ht="62.35" customHeight="1" x14ac:dyDescent="0.3"/>
    <row r="2" spans="2:18" ht="9.4" customHeight="1" thickBot="1" x14ac:dyDescent="0.35"/>
    <row r="3" spans="2:18" ht="18.45" thickBot="1" x14ac:dyDescent="0.4">
      <c r="B3" s="33" t="s">
        <v>37</v>
      </c>
      <c r="C3" s="34"/>
      <c r="D3" s="33" t="s">
        <v>25</v>
      </c>
      <c r="E3" s="50"/>
      <c r="F3" s="50"/>
      <c r="G3" s="50"/>
      <c r="H3" s="50"/>
      <c r="I3" s="50"/>
      <c r="J3" s="50"/>
      <c r="K3" s="34"/>
    </row>
    <row r="4" spans="2:18" ht="29.4" thickBot="1" x14ac:dyDescent="0.35">
      <c r="B4" s="6" t="s">
        <v>12</v>
      </c>
      <c r="C4" s="7" t="s">
        <v>1</v>
      </c>
      <c r="D4" s="7" t="s">
        <v>13</v>
      </c>
      <c r="E4" s="7" t="s">
        <v>14</v>
      </c>
      <c r="F4" s="7" t="s">
        <v>15</v>
      </c>
      <c r="G4" s="8" t="s">
        <v>16</v>
      </c>
      <c r="H4" s="7" t="s">
        <v>17</v>
      </c>
      <c r="I4" s="7" t="s">
        <v>18</v>
      </c>
      <c r="J4" s="7" t="s">
        <v>19</v>
      </c>
      <c r="K4" s="9" t="s">
        <v>20</v>
      </c>
    </row>
    <row r="5" spans="2:18" ht="15" thickBot="1" x14ac:dyDescent="0.35">
      <c r="B5" s="10" t="s">
        <v>23</v>
      </c>
      <c r="C5" s="11">
        <v>44</v>
      </c>
      <c r="D5" s="12">
        <v>1102</v>
      </c>
      <c r="E5" s="13">
        <v>37653</v>
      </c>
      <c r="F5" s="14">
        <v>10100100100010</v>
      </c>
      <c r="G5" s="14">
        <v>0</v>
      </c>
      <c r="H5" s="11" t="s">
        <v>21</v>
      </c>
      <c r="I5" s="11" t="s">
        <v>22</v>
      </c>
      <c r="J5" s="15">
        <v>108.37487537836321</v>
      </c>
      <c r="K5" s="16" t="str">
        <f>IFERROR(IF(VLOOKUP(Tabela162[[#This Row],[NF]],Tabela33[NF],1,FALSE),"CONSTA","NÃO CONSTA"),"NÃO CONSTA")</f>
        <v>NÃO CONSTA</v>
      </c>
      <c r="M5" s="41" t="s">
        <v>31</v>
      </c>
      <c r="N5" s="42"/>
      <c r="O5" s="43"/>
    </row>
    <row r="6" spans="2:18" x14ac:dyDescent="0.3">
      <c r="B6" s="17" t="s">
        <v>23</v>
      </c>
      <c r="C6" s="18">
        <v>45</v>
      </c>
      <c r="D6" s="12">
        <v>1102</v>
      </c>
      <c r="E6" s="19">
        <v>37653</v>
      </c>
      <c r="F6" s="14">
        <v>210</v>
      </c>
      <c r="G6" s="14">
        <v>0</v>
      </c>
      <c r="H6" s="18" t="s">
        <v>21</v>
      </c>
      <c r="I6" s="18" t="s">
        <v>22</v>
      </c>
      <c r="J6" s="15">
        <v>63.501677862251697</v>
      </c>
      <c r="K6" s="16" t="str">
        <f>IFERROR(IF(VLOOKUP(Tabela162[[#This Row],[NF]],Tabela33[NF],1,FALSE),"CONSTA","NÃO CONSTA"),"NÃO CONSTA")</f>
        <v>CONSTA</v>
      </c>
      <c r="M6" s="51" t="s">
        <v>26</v>
      </c>
      <c r="N6" s="52"/>
      <c r="O6" s="53"/>
    </row>
    <row r="7" spans="2:18" x14ac:dyDescent="0.3">
      <c r="B7" s="17" t="s">
        <v>23</v>
      </c>
      <c r="C7" s="18">
        <v>46</v>
      </c>
      <c r="D7" s="12">
        <v>1102</v>
      </c>
      <c r="E7" s="19">
        <v>37653</v>
      </c>
      <c r="F7" s="14">
        <v>320</v>
      </c>
      <c r="G7" s="14">
        <v>0</v>
      </c>
      <c r="H7" s="18" t="s">
        <v>21</v>
      </c>
      <c r="I7" s="18" t="s">
        <v>22</v>
      </c>
      <c r="J7" s="15">
        <v>335.23981553171558</v>
      </c>
      <c r="K7" s="16" t="str">
        <f>IFERROR(IF(VLOOKUP(Tabela162[[#This Row],[NF]],Tabela33[NF],1,FALSE),"CONSTA","NÃO CONSTA"),"NÃO CONSTA")</f>
        <v>NÃO CONSTA</v>
      </c>
      <c r="M7" s="54" t="s">
        <v>27</v>
      </c>
      <c r="N7" s="55"/>
      <c r="O7" s="56"/>
    </row>
    <row r="8" spans="2:18" x14ac:dyDescent="0.3">
      <c r="B8" s="20" t="s">
        <v>23</v>
      </c>
      <c r="C8" s="11">
        <v>47</v>
      </c>
      <c r="D8" s="12">
        <v>1102</v>
      </c>
      <c r="E8" s="22">
        <v>37653</v>
      </c>
      <c r="F8" s="23">
        <v>430</v>
      </c>
      <c r="G8" s="14">
        <v>0</v>
      </c>
      <c r="H8" s="21" t="s">
        <v>21</v>
      </c>
      <c r="I8" s="21" t="s">
        <v>22</v>
      </c>
      <c r="J8" s="15">
        <v>439.57151505412043</v>
      </c>
      <c r="K8" s="24" t="str">
        <f>IFERROR(IF(VLOOKUP(Tabela162[[#This Row],[NF]],Tabela33[NF],1,FALSE),"CONSTA","NÃO CONSTA"),"NÃO CONSTA")</f>
        <v>CONSTA</v>
      </c>
      <c r="M8" s="57" t="s">
        <v>32</v>
      </c>
      <c r="N8" s="58"/>
      <c r="O8" s="59"/>
    </row>
    <row r="9" spans="2:18" x14ac:dyDescent="0.3">
      <c r="B9" s="17" t="s">
        <v>23</v>
      </c>
      <c r="C9" s="18">
        <v>48</v>
      </c>
      <c r="D9" s="12">
        <v>1102</v>
      </c>
      <c r="E9" s="19">
        <v>37654</v>
      </c>
      <c r="F9" s="14">
        <v>540</v>
      </c>
      <c r="G9" s="14">
        <v>0</v>
      </c>
      <c r="H9" s="18" t="s">
        <v>21</v>
      </c>
      <c r="I9" s="18" t="s">
        <v>22</v>
      </c>
      <c r="J9" s="15">
        <v>326.31943248132802</v>
      </c>
      <c r="K9" s="16" t="str">
        <f>IFERROR(IF(VLOOKUP(Tabela162[[#This Row],[NF]],Tabela33[NF],1,FALSE),"CONSTA","NÃO CONSTA"),"NÃO CONSTA")</f>
        <v>NÃO CONSTA</v>
      </c>
      <c r="M9" s="54" t="s">
        <v>30</v>
      </c>
      <c r="N9" s="55"/>
      <c r="O9" s="56"/>
    </row>
    <row r="10" spans="2:18" ht="15" thickBot="1" x14ac:dyDescent="0.35">
      <c r="B10" s="17" t="s">
        <v>23</v>
      </c>
      <c r="C10" s="18">
        <v>49</v>
      </c>
      <c r="D10" s="12">
        <v>1102</v>
      </c>
      <c r="E10" s="19">
        <v>37654</v>
      </c>
      <c r="F10" s="14">
        <v>650</v>
      </c>
      <c r="G10" s="14">
        <v>0</v>
      </c>
      <c r="H10" s="18" t="s">
        <v>21</v>
      </c>
      <c r="I10" s="18" t="s">
        <v>22</v>
      </c>
      <c r="J10" s="15">
        <v>783.41079789866785</v>
      </c>
      <c r="K10" s="16" t="str">
        <f>IFERROR(IF(VLOOKUP(Tabela162[[#This Row],[NF]],Tabela33[NF],1,FALSE),"CONSTA","NÃO CONSTA"),"NÃO CONSTA")</f>
        <v>CONSTA</v>
      </c>
      <c r="M10" s="38" t="s">
        <v>29</v>
      </c>
      <c r="N10" s="39"/>
      <c r="O10" s="40"/>
    </row>
    <row r="11" spans="2:18" ht="15" thickBot="1" x14ac:dyDescent="0.35">
      <c r="B11" s="17" t="s">
        <v>23</v>
      </c>
      <c r="C11" s="11">
        <v>50</v>
      </c>
      <c r="D11" s="12">
        <v>1102</v>
      </c>
      <c r="E11" s="19">
        <v>37654</v>
      </c>
      <c r="F11" s="14">
        <v>760</v>
      </c>
      <c r="G11" s="14">
        <v>0</v>
      </c>
      <c r="H11" s="18" t="s">
        <v>21</v>
      </c>
      <c r="I11" s="18" t="s">
        <v>22</v>
      </c>
      <c r="J11" s="15">
        <v>745.20365762531878</v>
      </c>
      <c r="K11" s="16" t="str">
        <f>IFERROR(IF(VLOOKUP(Tabela162[[#This Row],[NF]],Tabela33[NF],1,FALSE),"CONSTA","NÃO CONSTA"),"NÃO CONSTA")</f>
        <v>NÃO CONSTA</v>
      </c>
    </row>
    <row r="12" spans="2:18" ht="15" thickBot="1" x14ac:dyDescent="0.35">
      <c r="B12" s="17" t="s">
        <v>23</v>
      </c>
      <c r="C12" s="18">
        <v>51</v>
      </c>
      <c r="D12" s="12">
        <v>1102</v>
      </c>
      <c r="E12" s="19">
        <v>37654</v>
      </c>
      <c r="F12" s="14">
        <v>870</v>
      </c>
      <c r="G12" s="14">
        <v>0</v>
      </c>
      <c r="H12" s="18" t="s">
        <v>21</v>
      </c>
      <c r="I12" s="18" t="s">
        <v>22</v>
      </c>
      <c r="J12" s="15">
        <v>167.42065440777475</v>
      </c>
      <c r="K12" s="16" t="str">
        <f>IFERROR(IF(VLOOKUP(Tabela162[[#This Row],[NF]],Tabela33[NF],1,FALSE),"CONSTA","NÃO CONSTA"),"NÃO CONSTA")</f>
        <v>CONSTA</v>
      </c>
      <c r="M12" s="41" t="s">
        <v>35</v>
      </c>
      <c r="N12" s="42"/>
      <c r="O12" s="42"/>
      <c r="P12" s="42"/>
      <c r="Q12" s="42"/>
      <c r="R12" s="43"/>
    </row>
    <row r="13" spans="2:18" x14ac:dyDescent="0.3">
      <c r="B13" s="17" t="s">
        <v>23</v>
      </c>
      <c r="C13" s="18">
        <v>52</v>
      </c>
      <c r="D13" s="12">
        <v>1102</v>
      </c>
      <c r="E13" s="19">
        <v>37654</v>
      </c>
      <c r="F13" s="14">
        <v>980</v>
      </c>
      <c r="G13" s="14">
        <v>0</v>
      </c>
      <c r="H13" s="18" t="s">
        <v>21</v>
      </c>
      <c r="I13" s="18" t="s">
        <v>22</v>
      </c>
      <c r="J13" s="15">
        <v>268.4543087013962</v>
      </c>
      <c r="K13" s="16" t="str">
        <f>IFERROR(IF(VLOOKUP(Tabela162[[#This Row],[NF]],Tabela33[NF],1,FALSE),"CONSTA","NÃO CONSTA"),"NÃO CONSTA")</f>
        <v>NÃO CONSTA</v>
      </c>
      <c r="M13" s="44" t="s">
        <v>33</v>
      </c>
      <c r="N13" s="45"/>
      <c r="O13" s="45"/>
      <c r="P13" s="45"/>
      <c r="Q13" s="45"/>
      <c r="R13" s="46"/>
    </row>
    <row r="14" spans="2:18" x14ac:dyDescent="0.3">
      <c r="B14" s="17" t="s">
        <v>23</v>
      </c>
      <c r="C14" s="11">
        <v>53</v>
      </c>
      <c r="D14" s="12">
        <v>1102</v>
      </c>
      <c r="E14" s="19">
        <v>37654</v>
      </c>
      <c r="F14" s="14">
        <v>1090</v>
      </c>
      <c r="G14" s="14">
        <v>0</v>
      </c>
      <c r="H14" s="18" t="s">
        <v>21</v>
      </c>
      <c r="I14" s="18" t="s">
        <v>22</v>
      </c>
      <c r="J14" s="15">
        <v>449.11889027298866</v>
      </c>
      <c r="K14" s="16" t="str">
        <f>IFERROR(IF(VLOOKUP(Tabela162[[#This Row],[NF]],Tabela33[NF],1,FALSE),"CONSTA","NÃO CONSTA"),"NÃO CONSTA")</f>
        <v>CONSTA</v>
      </c>
      <c r="M14" s="47" t="s">
        <v>34</v>
      </c>
      <c r="N14" s="48"/>
      <c r="O14" s="48"/>
      <c r="P14" s="48"/>
      <c r="Q14" s="48"/>
      <c r="R14" s="49"/>
    </row>
    <row r="15" spans="2:18" ht="15" thickBot="1" x14ac:dyDescent="0.35">
      <c r="B15" s="17" t="s">
        <v>23</v>
      </c>
      <c r="C15" s="18">
        <v>54</v>
      </c>
      <c r="D15" s="12">
        <v>1102</v>
      </c>
      <c r="E15" s="19">
        <v>37655</v>
      </c>
      <c r="F15" s="23">
        <v>1200</v>
      </c>
      <c r="G15" s="14">
        <v>0</v>
      </c>
      <c r="H15" s="18" t="s">
        <v>21</v>
      </c>
      <c r="I15" s="18" t="s">
        <v>22</v>
      </c>
      <c r="J15" s="15">
        <v>193.37525647327803</v>
      </c>
      <c r="K15" s="16" t="str">
        <f>IFERROR(IF(VLOOKUP(Tabela162[[#This Row],[NF]],Tabela33[NF],1,FALSE),"CONSTA","NÃO CONSTA"),"NÃO CONSTA")</f>
        <v>NÃO CONSTA</v>
      </c>
      <c r="M15" s="35" t="s">
        <v>40</v>
      </c>
      <c r="N15" s="36"/>
      <c r="O15" s="36"/>
      <c r="P15" s="36"/>
      <c r="Q15" s="36"/>
      <c r="R15" s="37"/>
    </row>
    <row r="16" spans="2:18" x14ac:dyDescent="0.3">
      <c r="B16" s="17" t="s">
        <v>23</v>
      </c>
      <c r="C16" s="18">
        <v>55</v>
      </c>
      <c r="D16" s="12">
        <v>1102</v>
      </c>
      <c r="E16" s="19">
        <v>37655</v>
      </c>
      <c r="F16" s="14">
        <v>1310</v>
      </c>
      <c r="G16" s="14">
        <v>0</v>
      </c>
      <c r="H16" s="18" t="s">
        <v>21</v>
      </c>
      <c r="I16" s="18" t="s">
        <v>22</v>
      </c>
      <c r="J16" s="15">
        <v>777.65727070219646</v>
      </c>
      <c r="K16" s="16" t="str">
        <f>IFERROR(IF(VLOOKUP(Tabela162[[#This Row],[NF]],Tabela33[NF],1,FALSE),"CONSTA","NÃO CONSTA"),"NÃO CONSTA")</f>
        <v>CONSTA</v>
      </c>
    </row>
    <row r="17" spans="2:11" x14ac:dyDescent="0.3">
      <c r="B17" s="20" t="s">
        <v>23</v>
      </c>
      <c r="C17" s="11">
        <v>56</v>
      </c>
      <c r="D17" s="12">
        <v>1102</v>
      </c>
      <c r="E17" s="22">
        <v>37655</v>
      </c>
      <c r="F17" s="14">
        <v>1420</v>
      </c>
      <c r="G17" s="14">
        <v>0</v>
      </c>
      <c r="H17" s="21" t="s">
        <v>21</v>
      </c>
      <c r="I17" s="21" t="s">
        <v>22</v>
      </c>
      <c r="J17" s="15">
        <v>594.39570939184466</v>
      </c>
      <c r="K17" s="24" t="str">
        <f>IFERROR(IF(VLOOKUP(Tabela162[[#This Row],[NF]],Tabela33[NF],1,FALSE),"CONSTA","NÃO CONSTA"),"NÃO CONSTA")</f>
        <v>NÃO CONSTA</v>
      </c>
    </row>
    <row r="18" spans="2:11" x14ac:dyDescent="0.3">
      <c r="B18" s="20" t="s">
        <v>23</v>
      </c>
      <c r="C18" s="18">
        <v>57</v>
      </c>
      <c r="D18" s="12">
        <v>1102</v>
      </c>
      <c r="E18" s="22">
        <v>37655</v>
      </c>
      <c r="F18" s="14">
        <v>1530</v>
      </c>
      <c r="G18" s="14">
        <v>0</v>
      </c>
      <c r="H18" s="21" t="s">
        <v>21</v>
      </c>
      <c r="I18" s="21" t="s">
        <v>22</v>
      </c>
      <c r="J18" s="15">
        <v>542.90252495341201</v>
      </c>
      <c r="K18" s="24" t="str">
        <f>IFERROR(IF(VLOOKUP(Tabela162[[#This Row],[NF]],Tabela33[NF],1,FALSE),"CONSTA","NÃO CONSTA"),"NÃO CONSTA")</f>
        <v>CONSTA</v>
      </c>
    </row>
    <row r="19" spans="2:11" x14ac:dyDescent="0.3">
      <c r="B19" s="17" t="s">
        <v>23</v>
      </c>
      <c r="C19" s="18">
        <v>58</v>
      </c>
      <c r="D19" s="12">
        <v>1102</v>
      </c>
      <c r="E19" s="19">
        <v>37655</v>
      </c>
      <c r="F19" s="14">
        <v>1640</v>
      </c>
      <c r="G19" s="14">
        <v>0</v>
      </c>
      <c r="H19" s="18" t="s">
        <v>24</v>
      </c>
      <c r="I19" s="18" t="s">
        <v>22</v>
      </c>
      <c r="J19" s="15">
        <v>663.19162540795946</v>
      </c>
      <c r="K19" s="16" t="str">
        <f>IFERROR(IF(VLOOKUP(Tabela162[[#This Row],[NF]],Tabela33[NF],1,FALSE),"CONSTA","NÃO CONSTA"),"NÃO CONSTA")</f>
        <v>NÃO CONSTA</v>
      </c>
    </row>
    <row r="20" spans="2:11" x14ac:dyDescent="0.3">
      <c r="B20" s="17" t="s">
        <v>23</v>
      </c>
      <c r="C20" s="11">
        <v>59</v>
      </c>
      <c r="D20" s="12">
        <v>1102</v>
      </c>
      <c r="E20" s="19">
        <v>37655</v>
      </c>
      <c r="F20" s="14">
        <v>1750</v>
      </c>
      <c r="G20" s="14">
        <v>0</v>
      </c>
      <c r="H20" s="18" t="s">
        <v>21</v>
      </c>
      <c r="I20" s="18" t="s">
        <v>22</v>
      </c>
      <c r="J20" s="15">
        <v>562.69487231319283</v>
      </c>
      <c r="K20" s="16" t="str">
        <f>IFERROR(IF(VLOOKUP(Tabela162[[#This Row],[NF]],Tabela33[NF],1,FALSE),"CONSTA","NÃO CONSTA"),"NÃO CONSTA")</f>
        <v>CONSTA</v>
      </c>
    </row>
    <row r="21" spans="2:11" x14ac:dyDescent="0.3">
      <c r="B21" s="17" t="s">
        <v>23</v>
      </c>
      <c r="C21" s="18">
        <v>60</v>
      </c>
      <c r="D21" s="12">
        <v>1102</v>
      </c>
      <c r="E21" s="19">
        <v>37655</v>
      </c>
      <c r="F21" s="14">
        <v>1860</v>
      </c>
      <c r="G21" s="14">
        <v>0</v>
      </c>
      <c r="H21" s="18" t="s">
        <v>21</v>
      </c>
      <c r="I21" s="18" t="s">
        <v>22</v>
      </c>
      <c r="J21" s="15">
        <v>613.28678997127861</v>
      </c>
      <c r="K21" s="16" t="str">
        <f>IFERROR(IF(VLOOKUP(Tabela162[[#This Row],[NF]],Tabela33[NF],1,FALSE),"CONSTA","NÃO CONSTA"),"NÃO CONSTA")</f>
        <v>NÃO CONSTA</v>
      </c>
    </row>
    <row r="22" spans="2:11" x14ac:dyDescent="0.3">
      <c r="B22" s="17" t="s">
        <v>23</v>
      </c>
      <c r="C22" s="18">
        <v>61</v>
      </c>
      <c r="D22" s="12">
        <v>1102</v>
      </c>
      <c r="E22" s="19">
        <v>37655</v>
      </c>
      <c r="F22" s="23">
        <v>1970</v>
      </c>
      <c r="G22" s="14">
        <v>0</v>
      </c>
      <c r="H22" s="18" t="s">
        <v>21</v>
      </c>
      <c r="I22" s="18" t="s">
        <v>22</v>
      </c>
      <c r="J22" s="15">
        <v>477.01573058438072</v>
      </c>
      <c r="K22" s="16" t="str">
        <f>IFERROR(IF(VLOOKUP(Tabela162[[#This Row],[NF]],Tabela33[NF],1,FALSE),"CONSTA","NÃO CONSTA"),"NÃO CONSTA")</f>
        <v>CONSTA</v>
      </c>
    </row>
    <row r="23" spans="2:11" x14ac:dyDescent="0.3">
      <c r="B23" s="17" t="s">
        <v>23</v>
      </c>
      <c r="C23" s="11">
        <v>62</v>
      </c>
      <c r="D23" s="12">
        <v>1102</v>
      </c>
      <c r="E23" s="19">
        <v>37656</v>
      </c>
      <c r="F23" s="14">
        <v>2080</v>
      </c>
      <c r="G23" s="14">
        <v>0</v>
      </c>
      <c r="H23" s="18" t="s">
        <v>21</v>
      </c>
      <c r="I23" s="18" t="s">
        <v>22</v>
      </c>
      <c r="J23" s="15">
        <v>13.091295953144177</v>
      </c>
      <c r="K23" s="16" t="str">
        <f>IFERROR(IF(VLOOKUP(Tabela162[[#This Row],[NF]],Tabela33[NF],1,FALSE),"CONSTA","NÃO CONSTA"),"NÃO CONSTA")</f>
        <v>NÃO CONSTA</v>
      </c>
    </row>
    <row r="24" spans="2:11" x14ac:dyDescent="0.3">
      <c r="B24" s="17" t="s">
        <v>23</v>
      </c>
      <c r="C24" s="18">
        <v>63</v>
      </c>
      <c r="D24" s="12">
        <v>1102</v>
      </c>
      <c r="E24" s="19">
        <v>37657</v>
      </c>
      <c r="F24" s="14">
        <v>2190</v>
      </c>
      <c r="G24" s="14">
        <v>0</v>
      </c>
      <c r="H24" s="18" t="s">
        <v>21</v>
      </c>
      <c r="I24" s="18" t="s">
        <v>22</v>
      </c>
      <c r="J24" s="15">
        <v>659.97313529933638</v>
      </c>
      <c r="K24" s="16" t="str">
        <f>IFERROR(IF(VLOOKUP(Tabela162[[#This Row],[NF]],Tabela33[NF],1,FALSE),"CONSTA","NÃO CONSTA"),"NÃO CONSTA")</f>
        <v>CONSTA</v>
      </c>
    </row>
    <row r="25" spans="2:11" x14ac:dyDescent="0.3">
      <c r="B25" s="17" t="s">
        <v>23</v>
      </c>
      <c r="C25" s="18">
        <v>64</v>
      </c>
      <c r="D25" s="12">
        <v>1102</v>
      </c>
      <c r="E25" s="19">
        <v>37658</v>
      </c>
      <c r="F25" s="14">
        <v>2300</v>
      </c>
      <c r="G25" s="14">
        <v>0</v>
      </c>
      <c r="H25" s="18" t="s">
        <v>21</v>
      </c>
      <c r="I25" s="18" t="s">
        <v>22</v>
      </c>
      <c r="J25" s="15">
        <v>701.74664487137545</v>
      </c>
      <c r="K25" s="16" t="str">
        <f>IFERROR(IF(VLOOKUP(Tabela162[[#This Row],[NF]],Tabela33[NF],1,FALSE),"CONSTA","NÃO CONSTA"),"NÃO CONSTA")</f>
        <v>NÃO CONSTA</v>
      </c>
    </row>
    <row r="26" spans="2:11" x14ac:dyDescent="0.3">
      <c r="B26" s="17" t="s">
        <v>23</v>
      </c>
      <c r="C26" s="11">
        <v>65</v>
      </c>
      <c r="D26" s="12">
        <v>1102</v>
      </c>
      <c r="E26" s="19">
        <v>37659</v>
      </c>
      <c r="F26" s="14">
        <v>2410</v>
      </c>
      <c r="G26" s="14">
        <v>0</v>
      </c>
      <c r="H26" s="18" t="s">
        <v>21</v>
      </c>
      <c r="I26" s="18" t="s">
        <v>22</v>
      </c>
      <c r="J26" s="15">
        <v>177.44381151161392</v>
      </c>
      <c r="K26" s="16" t="str">
        <f>IFERROR(IF(VLOOKUP(Tabela162[[#This Row],[NF]],Tabela33[NF],1,FALSE),"CONSTA","NÃO CONSTA"),"NÃO CONSTA")</f>
        <v>CONSTA</v>
      </c>
    </row>
    <row r="27" spans="2:11" x14ac:dyDescent="0.3">
      <c r="B27" s="17" t="s">
        <v>23</v>
      </c>
      <c r="C27" s="18">
        <v>66</v>
      </c>
      <c r="D27" s="12">
        <v>1102</v>
      </c>
      <c r="E27" s="19">
        <v>37660</v>
      </c>
      <c r="F27" s="14">
        <v>2520</v>
      </c>
      <c r="G27" s="14">
        <v>0</v>
      </c>
      <c r="H27" s="18" t="s">
        <v>21</v>
      </c>
      <c r="I27" s="18" t="s">
        <v>22</v>
      </c>
      <c r="J27" s="15">
        <v>865.66043802968295</v>
      </c>
      <c r="K27" s="16" t="str">
        <f>IFERROR(IF(VLOOKUP(Tabela162[[#This Row],[NF]],Tabela33[NF],1,FALSE),"CONSTA","NÃO CONSTA"),"NÃO CONSTA")</f>
        <v>NÃO CONSTA</v>
      </c>
    </row>
    <row r="28" spans="2:11" x14ac:dyDescent="0.3">
      <c r="B28" s="17" t="s">
        <v>23</v>
      </c>
      <c r="C28" s="18">
        <v>67</v>
      </c>
      <c r="D28" s="12">
        <v>1102</v>
      </c>
      <c r="E28" s="19">
        <v>37661</v>
      </c>
      <c r="F28" s="14">
        <v>2630</v>
      </c>
      <c r="G28" s="14">
        <v>0</v>
      </c>
      <c r="H28" s="18" t="s">
        <v>21</v>
      </c>
      <c r="I28" s="18" t="s">
        <v>22</v>
      </c>
      <c r="J28" s="15">
        <v>156.83575259415073</v>
      </c>
      <c r="K28" s="16" t="str">
        <f>IFERROR(IF(VLOOKUP(Tabela162[[#This Row],[NF]],Tabela33[NF],1,FALSE),"CONSTA","NÃO CONSTA"),"NÃO CONSTA")</f>
        <v>CONSTA</v>
      </c>
    </row>
    <row r="29" spans="2:11" x14ac:dyDescent="0.3">
      <c r="B29" s="17" t="s">
        <v>23</v>
      </c>
      <c r="C29" s="11">
        <v>68</v>
      </c>
      <c r="D29" s="12">
        <v>1102</v>
      </c>
      <c r="E29" s="19">
        <v>37662</v>
      </c>
      <c r="F29" s="23">
        <v>2740</v>
      </c>
      <c r="G29" s="14">
        <v>0</v>
      </c>
      <c r="H29" s="18" t="s">
        <v>21</v>
      </c>
      <c r="I29" s="18" t="s">
        <v>22</v>
      </c>
      <c r="J29" s="15">
        <v>861.41085419041144</v>
      </c>
      <c r="K29" s="16" t="str">
        <f>IFERROR(IF(VLOOKUP(Tabela162[[#This Row],[NF]],Tabela33[NF],1,FALSE),"CONSTA","NÃO CONSTA"),"NÃO CONSTA")</f>
        <v>NÃO CONSTA</v>
      </c>
    </row>
    <row r="30" spans="2:11" x14ac:dyDescent="0.3">
      <c r="B30" s="17" t="s">
        <v>23</v>
      </c>
      <c r="C30" s="18">
        <v>69</v>
      </c>
      <c r="D30" s="12">
        <v>1102</v>
      </c>
      <c r="E30" s="19">
        <v>37663</v>
      </c>
      <c r="F30" s="14">
        <v>2850</v>
      </c>
      <c r="G30" s="14">
        <v>0</v>
      </c>
      <c r="H30" s="18" t="s">
        <v>21</v>
      </c>
      <c r="I30" s="18" t="s">
        <v>22</v>
      </c>
      <c r="J30" s="15">
        <v>699.28060645933977</v>
      </c>
      <c r="K30" s="16" t="str">
        <f>IFERROR(IF(VLOOKUP(Tabela162[[#This Row],[NF]],Tabela33[NF],1,FALSE),"CONSTA","NÃO CONSTA"),"NÃO CONSTA")</f>
        <v>CONSTA</v>
      </c>
    </row>
    <row r="31" spans="2:11" x14ac:dyDescent="0.3">
      <c r="B31" s="17" t="s">
        <v>23</v>
      </c>
      <c r="C31" s="18">
        <v>70</v>
      </c>
      <c r="D31" s="12">
        <v>1102</v>
      </c>
      <c r="E31" s="19">
        <v>37664</v>
      </c>
      <c r="F31" s="14">
        <v>2960</v>
      </c>
      <c r="G31" s="14">
        <v>0</v>
      </c>
      <c r="H31" s="18" t="s">
        <v>21</v>
      </c>
      <c r="I31" s="18" t="s">
        <v>22</v>
      </c>
      <c r="J31" s="15">
        <v>930.00008013206013</v>
      </c>
      <c r="K31" s="16" t="str">
        <f>IFERROR(IF(VLOOKUP(Tabela162[[#This Row],[NF]],Tabela33[NF],1,FALSE),"CONSTA","NÃO CONSTA"),"NÃO CONSTA")</f>
        <v>NÃO CONSTA</v>
      </c>
    </row>
    <row r="32" spans="2:11" x14ac:dyDescent="0.3">
      <c r="B32" s="17" t="s">
        <v>23</v>
      </c>
      <c r="C32" s="11">
        <v>71</v>
      </c>
      <c r="D32" s="12">
        <v>1102</v>
      </c>
      <c r="E32" s="19">
        <v>37665</v>
      </c>
      <c r="F32" s="14">
        <v>3070</v>
      </c>
      <c r="G32" s="14">
        <v>0</v>
      </c>
      <c r="H32" s="18" t="s">
        <v>21</v>
      </c>
      <c r="I32" s="18" t="s">
        <v>22</v>
      </c>
      <c r="J32" s="15">
        <v>957.97119250652952</v>
      </c>
      <c r="K32" s="16" t="str">
        <f>IFERROR(IF(VLOOKUP(Tabela162[[#This Row],[NF]],Tabela33[NF],1,FALSE),"CONSTA","NÃO CONSTA"),"NÃO CONSTA")</f>
        <v>CONSTA</v>
      </c>
    </row>
    <row r="33" spans="2:11" x14ac:dyDescent="0.3">
      <c r="B33" s="17" t="s">
        <v>23</v>
      </c>
      <c r="C33" s="18">
        <v>72</v>
      </c>
      <c r="D33" s="12">
        <v>1102</v>
      </c>
      <c r="E33" s="19">
        <v>37666</v>
      </c>
      <c r="F33" s="14">
        <v>3180</v>
      </c>
      <c r="G33" s="14">
        <v>0</v>
      </c>
      <c r="H33" s="18" t="s">
        <v>21</v>
      </c>
      <c r="I33" s="18" t="s">
        <v>22</v>
      </c>
      <c r="J33" s="15">
        <v>783.76922811050315</v>
      </c>
      <c r="K33" s="16" t="str">
        <f>IFERROR(IF(VLOOKUP(Tabela162[[#This Row],[NF]],Tabela33[NF],1,FALSE),"CONSTA","NÃO CONSTA"),"NÃO CONSTA")</f>
        <v>NÃO CONSTA</v>
      </c>
    </row>
    <row r="34" spans="2:11" x14ac:dyDescent="0.3">
      <c r="B34" s="17" t="s">
        <v>23</v>
      </c>
      <c r="C34" s="18">
        <v>73</v>
      </c>
      <c r="D34" s="12">
        <v>1102</v>
      </c>
      <c r="E34" s="19">
        <v>37667</v>
      </c>
      <c r="F34" s="14">
        <v>3290</v>
      </c>
      <c r="G34" s="14">
        <v>0</v>
      </c>
      <c r="H34" s="18" t="s">
        <v>21</v>
      </c>
      <c r="I34" s="18" t="s">
        <v>22</v>
      </c>
      <c r="J34" s="15">
        <v>463.28771628991336</v>
      </c>
      <c r="K34" s="16" t="str">
        <f>IFERROR(IF(VLOOKUP(Tabela162[[#This Row],[NF]],Tabela33[NF],1,FALSE),"CONSTA","NÃO CONSTA"),"NÃO CONSTA")</f>
        <v>CONSTA</v>
      </c>
    </row>
    <row r="35" spans="2:11" x14ac:dyDescent="0.3">
      <c r="B35" s="17" t="s">
        <v>23</v>
      </c>
      <c r="C35" s="11">
        <v>74</v>
      </c>
      <c r="D35" s="12">
        <v>1102</v>
      </c>
      <c r="E35" s="19">
        <v>37668</v>
      </c>
      <c r="F35" s="14">
        <v>3400</v>
      </c>
      <c r="G35" s="14">
        <v>0</v>
      </c>
      <c r="H35" s="18" t="s">
        <v>21</v>
      </c>
      <c r="I35" s="18" t="s">
        <v>22</v>
      </c>
      <c r="J35" s="15">
        <v>872.18534549766184</v>
      </c>
      <c r="K35" s="16" t="str">
        <f>IFERROR(IF(VLOOKUP(Tabela162[[#This Row],[NF]],Tabela33[NF],1,FALSE),"CONSTA","NÃO CONSTA"),"NÃO CONSTA")</f>
        <v>NÃO CONSTA</v>
      </c>
    </row>
    <row r="36" spans="2:11" x14ac:dyDescent="0.3">
      <c r="B36" s="17" t="s">
        <v>23</v>
      </c>
      <c r="C36" s="18">
        <v>75</v>
      </c>
      <c r="D36" s="12">
        <v>1102</v>
      </c>
      <c r="E36" s="19">
        <v>37669</v>
      </c>
      <c r="F36" s="23">
        <v>3510</v>
      </c>
      <c r="G36" s="14">
        <v>0</v>
      </c>
      <c r="H36" s="18" t="s">
        <v>21</v>
      </c>
      <c r="I36" s="18" t="s">
        <v>22</v>
      </c>
      <c r="J36" s="15">
        <v>894.83169350566209</v>
      </c>
      <c r="K36" s="16" t="str">
        <f>IFERROR(IF(VLOOKUP(Tabela162[[#This Row],[NF]],Tabela33[NF],1,FALSE),"CONSTA","NÃO CONSTA"),"NÃO CONSTA")</f>
        <v>CONSTA</v>
      </c>
    </row>
    <row r="37" spans="2:11" x14ac:dyDescent="0.3">
      <c r="B37" s="17" t="s">
        <v>23</v>
      </c>
      <c r="C37" s="18">
        <v>76</v>
      </c>
      <c r="D37" s="12">
        <v>1102</v>
      </c>
      <c r="E37" s="19">
        <v>37670</v>
      </c>
      <c r="F37" s="14">
        <v>3620</v>
      </c>
      <c r="G37" s="14">
        <v>0</v>
      </c>
      <c r="H37" s="18" t="s">
        <v>21</v>
      </c>
      <c r="I37" s="18" t="s">
        <v>22</v>
      </c>
      <c r="J37" s="15">
        <v>169.64047557972506</v>
      </c>
      <c r="K37" s="16" t="str">
        <f>IFERROR(IF(VLOOKUP(Tabela162[[#This Row],[NF]],Tabela33[NF],1,FALSE),"CONSTA","NÃO CONSTA"),"NÃO CONSTA")</f>
        <v>NÃO CONSTA</v>
      </c>
    </row>
    <row r="38" spans="2:11" x14ac:dyDescent="0.3">
      <c r="B38" s="17" t="s">
        <v>23</v>
      </c>
      <c r="C38" s="11">
        <v>77</v>
      </c>
      <c r="D38" s="12">
        <v>1102</v>
      </c>
      <c r="E38" s="19">
        <v>37671</v>
      </c>
      <c r="F38" s="14">
        <v>3730</v>
      </c>
      <c r="G38" s="14">
        <v>0</v>
      </c>
      <c r="H38" s="18" t="s">
        <v>21</v>
      </c>
      <c r="I38" s="18" t="s">
        <v>22</v>
      </c>
      <c r="J38" s="15">
        <v>211.70922910654355</v>
      </c>
      <c r="K38" s="16" t="str">
        <f>IFERROR(IF(VLOOKUP(Tabela162[[#This Row],[NF]],Tabela33[NF],1,FALSE),"CONSTA","NÃO CONSTA"),"NÃO CONSTA")</f>
        <v>CONSTA</v>
      </c>
    </row>
    <row r="39" spans="2:11" x14ac:dyDescent="0.3">
      <c r="B39" s="17" t="s">
        <v>23</v>
      </c>
      <c r="C39" s="18">
        <v>78</v>
      </c>
      <c r="D39" s="12">
        <v>1102</v>
      </c>
      <c r="E39" s="19">
        <v>37672</v>
      </c>
      <c r="F39" s="14">
        <v>3840</v>
      </c>
      <c r="G39" s="14">
        <v>0</v>
      </c>
      <c r="H39" s="18" t="s">
        <v>21</v>
      </c>
      <c r="I39" s="18" t="s">
        <v>22</v>
      </c>
      <c r="J39" s="15">
        <v>631.49017481870817</v>
      </c>
      <c r="K39" s="16" t="str">
        <f>IFERROR(IF(VLOOKUP(Tabela162[[#This Row],[NF]],Tabela33[NF],1,FALSE),"CONSTA","NÃO CONSTA"),"NÃO CONSTA")</f>
        <v>NÃO CONSTA</v>
      </c>
    </row>
    <row r="40" spans="2:11" x14ac:dyDescent="0.3">
      <c r="B40" s="17" t="s">
        <v>23</v>
      </c>
      <c r="C40" s="18">
        <v>79</v>
      </c>
      <c r="D40" s="12">
        <v>1102</v>
      </c>
      <c r="E40" s="19">
        <v>37673</v>
      </c>
      <c r="F40" s="14">
        <v>3950</v>
      </c>
      <c r="G40" s="14">
        <v>0</v>
      </c>
      <c r="H40" s="18" t="s">
        <v>21</v>
      </c>
      <c r="I40" s="18" t="s">
        <v>22</v>
      </c>
      <c r="J40" s="15">
        <v>58.755047676871229</v>
      </c>
      <c r="K40" s="16" t="str">
        <f>IFERROR(IF(VLOOKUP(Tabela162[[#This Row],[NF]],Tabela33[NF],1,FALSE),"CONSTA","NÃO CONSTA"),"NÃO CONSTA")</f>
        <v>CONSTA</v>
      </c>
    </row>
    <row r="41" spans="2:11" x14ac:dyDescent="0.3">
      <c r="B41" s="17" t="s">
        <v>23</v>
      </c>
      <c r="C41" s="11">
        <v>80</v>
      </c>
      <c r="D41" s="12">
        <v>1102</v>
      </c>
      <c r="E41" s="19">
        <v>37674</v>
      </c>
      <c r="F41" s="14">
        <v>4060</v>
      </c>
      <c r="G41" s="14">
        <v>0</v>
      </c>
      <c r="H41" s="18" t="s">
        <v>21</v>
      </c>
      <c r="I41" s="18" t="s">
        <v>22</v>
      </c>
      <c r="J41" s="15">
        <v>789.20176458831008</v>
      </c>
      <c r="K41" s="16" t="str">
        <f>IFERROR(IF(VLOOKUP(Tabela162[[#This Row],[NF]],Tabela33[NF],1,FALSE),"CONSTA","NÃO CONSTA"),"NÃO CONSTA")</f>
        <v>NÃO CONSTA</v>
      </c>
    </row>
    <row r="42" spans="2:11" x14ac:dyDescent="0.3">
      <c r="B42" s="17" t="s">
        <v>23</v>
      </c>
      <c r="C42" s="18">
        <v>81</v>
      </c>
      <c r="D42" s="12">
        <v>1102</v>
      </c>
      <c r="E42" s="19">
        <v>37675</v>
      </c>
      <c r="F42" s="14">
        <v>4170</v>
      </c>
      <c r="G42" s="14">
        <v>0</v>
      </c>
      <c r="H42" s="18" t="s">
        <v>21</v>
      </c>
      <c r="I42" s="18" t="s">
        <v>22</v>
      </c>
      <c r="J42" s="15">
        <v>669.66585336670948</v>
      </c>
      <c r="K42" s="16" t="str">
        <f>IFERROR(IF(VLOOKUP(Tabela162[[#This Row],[NF]],Tabela33[NF],1,FALSE),"CONSTA","NÃO CONSTA"),"NÃO CONSTA")</f>
        <v>CONSTA</v>
      </c>
    </row>
    <row r="43" spans="2:11" x14ac:dyDescent="0.3">
      <c r="B43" s="17" t="s">
        <v>23</v>
      </c>
      <c r="C43" s="18">
        <v>82</v>
      </c>
      <c r="D43" s="12">
        <v>1102</v>
      </c>
      <c r="E43" s="19">
        <v>37676</v>
      </c>
      <c r="F43" s="23">
        <v>4280</v>
      </c>
      <c r="G43" s="14">
        <v>0</v>
      </c>
      <c r="H43" s="18" t="s">
        <v>21</v>
      </c>
      <c r="I43" s="18" t="s">
        <v>22</v>
      </c>
      <c r="J43" s="15">
        <v>345.56262805494799</v>
      </c>
      <c r="K43" s="16" t="str">
        <f>IFERROR(IF(VLOOKUP(Tabela162[[#This Row],[NF]],Tabela33[NF],1,FALSE),"CONSTA","NÃO CONSTA"),"NÃO CONSTA")</f>
        <v>NÃO CONSTA</v>
      </c>
    </row>
    <row r="44" spans="2:11" x14ac:dyDescent="0.3">
      <c r="B44" s="17" t="s">
        <v>23</v>
      </c>
      <c r="C44" s="11">
        <v>83</v>
      </c>
      <c r="D44" s="12">
        <v>1102</v>
      </c>
      <c r="E44" s="19">
        <v>37677</v>
      </c>
      <c r="F44" s="14">
        <v>4390</v>
      </c>
      <c r="G44" s="14">
        <v>0</v>
      </c>
      <c r="H44" s="18" t="s">
        <v>21</v>
      </c>
      <c r="I44" s="18" t="s">
        <v>22</v>
      </c>
      <c r="J44" s="15">
        <v>922.12490644783202</v>
      </c>
      <c r="K44" s="16" t="str">
        <f>IFERROR(IF(VLOOKUP(Tabela162[[#This Row],[NF]],Tabela33[NF],1,FALSE),"CONSTA","NÃO CONSTA"),"NÃO CONSTA")</f>
        <v>CONSTA</v>
      </c>
    </row>
    <row r="45" spans="2:11" x14ac:dyDescent="0.3">
      <c r="B45" s="17" t="s">
        <v>23</v>
      </c>
      <c r="C45" s="18">
        <v>84</v>
      </c>
      <c r="D45" s="12">
        <v>1102</v>
      </c>
      <c r="E45" s="19">
        <v>37678</v>
      </c>
      <c r="F45" s="14">
        <v>4500</v>
      </c>
      <c r="G45" s="14">
        <v>0</v>
      </c>
      <c r="H45" s="18" t="s">
        <v>21</v>
      </c>
      <c r="I45" s="18" t="s">
        <v>22</v>
      </c>
      <c r="J45" s="15">
        <v>353.97592712989712</v>
      </c>
      <c r="K45" s="16" t="str">
        <f>IFERROR(IF(VLOOKUP(Tabela162[[#This Row],[NF]],Tabela33[NF],1,FALSE),"CONSTA","NÃO CONSTA"),"NÃO CONSTA")</f>
        <v>NÃO CONSTA</v>
      </c>
    </row>
    <row r="46" spans="2:11" x14ac:dyDescent="0.3">
      <c r="B46" s="17" t="s">
        <v>23</v>
      </c>
      <c r="C46" s="18">
        <v>85</v>
      </c>
      <c r="D46" s="12">
        <v>1102</v>
      </c>
      <c r="E46" s="19">
        <v>37679</v>
      </c>
      <c r="F46" s="14">
        <v>4610</v>
      </c>
      <c r="G46" s="14">
        <v>0</v>
      </c>
      <c r="H46" s="18" t="s">
        <v>21</v>
      </c>
      <c r="I46" s="18" t="s">
        <v>22</v>
      </c>
      <c r="J46" s="15">
        <v>914.52511635586234</v>
      </c>
      <c r="K46" s="16" t="str">
        <f>IFERROR(IF(VLOOKUP(Tabela162[[#This Row],[NF]],Tabela33[NF],1,FALSE),"CONSTA","NÃO CONSTA"),"NÃO CONSTA")</f>
        <v>CONSTA</v>
      </c>
    </row>
    <row r="47" spans="2:11" x14ac:dyDescent="0.3">
      <c r="B47" s="17" t="s">
        <v>23</v>
      </c>
      <c r="C47" s="11">
        <v>86</v>
      </c>
      <c r="D47" s="12">
        <v>1102</v>
      </c>
      <c r="E47" s="19">
        <v>37680</v>
      </c>
      <c r="F47" s="14">
        <v>4720</v>
      </c>
      <c r="G47" s="14">
        <v>0</v>
      </c>
      <c r="H47" s="18" t="s">
        <v>21</v>
      </c>
      <c r="I47" s="18" t="s">
        <v>22</v>
      </c>
      <c r="J47" s="15">
        <v>927.20413766981994</v>
      </c>
      <c r="K47" s="16" t="str">
        <f>IFERROR(IF(VLOOKUP(Tabela162[[#This Row],[NF]],Tabela33[NF],1,FALSE),"CONSTA","NÃO CONSTA"),"NÃO CONSTA")</f>
        <v>NÃO CONSTA</v>
      </c>
    </row>
  </sheetData>
  <mergeCells count="12">
    <mergeCell ref="M15:R15"/>
    <mergeCell ref="B3:C3"/>
    <mergeCell ref="D3:K3"/>
    <mergeCell ref="M5:O5"/>
    <mergeCell ref="M6:O6"/>
    <mergeCell ref="M7:O7"/>
    <mergeCell ref="M8:O8"/>
    <mergeCell ref="M9:O9"/>
    <mergeCell ref="M10:O10"/>
    <mergeCell ref="M12:R12"/>
    <mergeCell ref="M13:R13"/>
    <mergeCell ref="M14:R14"/>
  </mergeCells>
  <conditionalFormatting sqref="B5:K47">
    <cfRule type="expression" dxfId="7" priority="1">
      <formula>$K5="CONSTA"</formula>
    </cfRule>
    <cfRule type="expression" dxfId="6" priority="2">
      <formula>$K5="NÃO CONSTA"</formula>
    </cfRule>
    <cfRule type="expression" dxfId="5" priority="3">
      <formula>$J5="CONSTA"</formula>
    </cfRule>
    <cfRule type="expression" dxfId="4" priority="4">
      <formula>$J5="NÃO CONSTA"</formula>
    </cfRule>
  </conditionalFormatting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D9C42-D70F-4D55-937C-E4CE153B2E78}">
  <dimension ref="B1:J37"/>
  <sheetViews>
    <sheetView showGridLines="0" workbookViewId="0"/>
  </sheetViews>
  <sheetFormatPr defaultRowHeight="14.4" x14ac:dyDescent="0.3"/>
  <cols>
    <col min="1" max="1" width="1.8984375" customWidth="1"/>
    <col min="2" max="2" width="10.296875" style="2" bestFit="1" customWidth="1"/>
    <col min="3" max="3" width="5.8984375" customWidth="1"/>
    <col min="4" max="4" width="20.09765625" customWidth="1"/>
    <col min="5" max="5" width="11" style="1" customWidth="1"/>
    <col min="6" max="6" width="13.19921875" style="2" customWidth="1"/>
  </cols>
  <sheetData>
    <row r="1" spans="2:10" ht="62.35" customHeight="1" x14ac:dyDescent="0.3"/>
    <row r="2" spans="2:10" ht="9.4" customHeight="1" thickBot="1" x14ac:dyDescent="0.35"/>
    <row r="3" spans="2:10" ht="16.7" thickBot="1" x14ac:dyDescent="0.4">
      <c r="B3" s="60" t="s">
        <v>38</v>
      </c>
      <c r="C3" s="61"/>
      <c r="D3" s="61"/>
      <c r="E3" s="61"/>
      <c r="F3" s="62"/>
    </row>
    <row r="4" spans="2:10" ht="15" thickBot="1" x14ac:dyDescent="0.35">
      <c r="B4" s="3" t="s">
        <v>0</v>
      </c>
      <c r="C4" s="4" t="s">
        <v>1</v>
      </c>
      <c r="D4" s="4" t="s">
        <v>2</v>
      </c>
      <c r="E4" s="5" t="s">
        <v>3</v>
      </c>
      <c r="F4" s="3" t="s">
        <v>4</v>
      </c>
      <c r="H4" s="41" t="s">
        <v>31</v>
      </c>
      <c r="I4" s="42"/>
      <c r="J4" s="43"/>
    </row>
    <row r="5" spans="2:10" x14ac:dyDescent="0.3">
      <c r="B5" s="2">
        <v>37654</v>
      </c>
      <c r="C5">
        <v>43</v>
      </c>
      <c r="D5" t="s">
        <v>5</v>
      </c>
      <c r="E5" s="1">
        <v>77.325512237667496</v>
      </c>
      <c r="F5" s="2">
        <v>37653</v>
      </c>
      <c r="H5" s="51" t="s">
        <v>26</v>
      </c>
      <c r="I5" s="52"/>
      <c r="J5" s="53"/>
    </row>
    <row r="6" spans="2:10" x14ac:dyDescent="0.3">
      <c r="B6" s="2">
        <v>37654</v>
      </c>
      <c r="C6">
        <v>45</v>
      </c>
      <c r="D6" t="s">
        <v>6</v>
      </c>
      <c r="E6" s="1">
        <v>558.9834007805166</v>
      </c>
      <c r="F6" s="2">
        <v>37653</v>
      </c>
      <c r="H6" s="54" t="s">
        <v>27</v>
      </c>
      <c r="I6" s="55"/>
      <c r="J6" s="56"/>
    </row>
    <row r="7" spans="2:10" x14ac:dyDescent="0.3">
      <c r="B7" s="2">
        <v>37655</v>
      </c>
      <c r="C7">
        <v>47</v>
      </c>
      <c r="D7" t="s">
        <v>7</v>
      </c>
      <c r="E7" s="1">
        <v>45.697140015329538</v>
      </c>
      <c r="F7" s="2">
        <v>37654</v>
      </c>
      <c r="H7" s="57" t="s">
        <v>28</v>
      </c>
      <c r="I7" s="58"/>
      <c r="J7" s="59"/>
    </row>
    <row r="8" spans="2:10" x14ac:dyDescent="0.3">
      <c r="B8" s="2">
        <v>37655</v>
      </c>
      <c r="C8">
        <v>49</v>
      </c>
      <c r="D8" t="s">
        <v>8</v>
      </c>
      <c r="E8" s="1">
        <v>846.71813572602571</v>
      </c>
      <c r="F8" s="2">
        <v>37654</v>
      </c>
      <c r="H8" s="54" t="s">
        <v>30</v>
      </c>
      <c r="I8" s="55"/>
      <c r="J8" s="56"/>
    </row>
    <row r="9" spans="2:10" ht="15" thickBot="1" x14ac:dyDescent="0.35">
      <c r="B9" s="2">
        <v>37655</v>
      </c>
      <c r="C9">
        <v>51</v>
      </c>
      <c r="D9" t="s">
        <v>9</v>
      </c>
      <c r="E9" s="1">
        <v>862.56127044972379</v>
      </c>
      <c r="F9" s="2">
        <v>37654</v>
      </c>
      <c r="H9" s="38" t="s">
        <v>29</v>
      </c>
      <c r="I9" s="39"/>
      <c r="J9" s="40"/>
    </row>
    <row r="10" spans="2:10" x14ac:dyDescent="0.3">
      <c r="B10" s="2">
        <v>37656</v>
      </c>
      <c r="C10">
        <v>53</v>
      </c>
      <c r="D10" t="s">
        <v>10</v>
      </c>
      <c r="E10" s="1">
        <v>474.85422583623904</v>
      </c>
      <c r="F10" s="2">
        <v>37655</v>
      </c>
    </row>
    <row r="11" spans="2:10" x14ac:dyDescent="0.3">
      <c r="B11" s="2">
        <v>37656</v>
      </c>
      <c r="C11">
        <v>55</v>
      </c>
      <c r="D11" t="s">
        <v>11</v>
      </c>
      <c r="E11" s="1">
        <v>399.90247937410606</v>
      </c>
      <c r="F11" s="2">
        <v>37655</v>
      </c>
    </row>
    <row r="12" spans="2:10" x14ac:dyDescent="0.3">
      <c r="B12" s="2">
        <v>37656</v>
      </c>
      <c r="C12">
        <v>57</v>
      </c>
      <c r="D12" t="s">
        <v>5</v>
      </c>
      <c r="E12" s="1">
        <v>819.83823198664265</v>
      </c>
      <c r="F12" s="2">
        <v>37655</v>
      </c>
    </row>
    <row r="13" spans="2:10" x14ac:dyDescent="0.3">
      <c r="B13" s="2">
        <v>37656</v>
      </c>
      <c r="C13">
        <v>59</v>
      </c>
      <c r="D13" t="s">
        <v>6</v>
      </c>
      <c r="E13" s="1">
        <v>718.6692651855949</v>
      </c>
      <c r="F13" s="2">
        <v>37655</v>
      </c>
    </row>
    <row r="14" spans="2:10" x14ac:dyDescent="0.3">
      <c r="B14" s="2">
        <v>37657</v>
      </c>
      <c r="C14">
        <v>61</v>
      </c>
      <c r="D14" t="s">
        <v>7</v>
      </c>
      <c r="E14" s="1">
        <v>372.85118081181992</v>
      </c>
      <c r="F14" s="2">
        <v>37656</v>
      </c>
    </row>
    <row r="15" spans="2:10" x14ac:dyDescent="0.3">
      <c r="B15" s="2">
        <v>37658</v>
      </c>
      <c r="C15">
        <v>63</v>
      </c>
      <c r="D15" t="s">
        <v>8</v>
      </c>
      <c r="E15" s="1">
        <v>211.74067065220837</v>
      </c>
      <c r="F15" s="2">
        <v>37657</v>
      </c>
    </row>
    <row r="16" spans="2:10" x14ac:dyDescent="0.3">
      <c r="B16" s="2">
        <v>37659</v>
      </c>
      <c r="C16">
        <v>65</v>
      </c>
      <c r="D16" t="s">
        <v>9</v>
      </c>
      <c r="E16" s="1">
        <v>825.43874532370876</v>
      </c>
      <c r="F16" s="2">
        <v>37658</v>
      </c>
    </row>
    <row r="17" spans="2:6" x14ac:dyDescent="0.3">
      <c r="B17" s="2">
        <v>37660</v>
      </c>
      <c r="C17">
        <v>67</v>
      </c>
      <c r="D17" t="s">
        <v>10</v>
      </c>
      <c r="E17" s="1">
        <v>180.59395143522337</v>
      </c>
      <c r="F17" s="2">
        <v>37659</v>
      </c>
    </row>
    <row r="18" spans="2:6" x14ac:dyDescent="0.3">
      <c r="B18" s="2">
        <v>37661</v>
      </c>
      <c r="C18">
        <v>69</v>
      </c>
      <c r="D18" t="s">
        <v>11</v>
      </c>
      <c r="E18" s="1">
        <v>782.29688772186523</v>
      </c>
      <c r="F18" s="2">
        <v>37660</v>
      </c>
    </row>
    <row r="19" spans="2:6" x14ac:dyDescent="0.3">
      <c r="B19" s="2">
        <v>37662</v>
      </c>
      <c r="C19">
        <v>71</v>
      </c>
      <c r="D19" t="s">
        <v>5</v>
      </c>
      <c r="E19" s="1">
        <v>761.96845576099724</v>
      </c>
      <c r="F19" s="2">
        <v>37661</v>
      </c>
    </row>
    <row r="20" spans="2:6" x14ac:dyDescent="0.3">
      <c r="B20" s="2">
        <v>37663</v>
      </c>
      <c r="C20">
        <v>73</v>
      </c>
      <c r="D20" t="s">
        <v>6</v>
      </c>
      <c r="E20" s="1">
        <v>944.30816543654691</v>
      </c>
      <c r="F20" s="2">
        <v>37662</v>
      </c>
    </row>
    <row r="21" spans="2:6" x14ac:dyDescent="0.3">
      <c r="B21" s="2">
        <v>37664</v>
      </c>
      <c r="C21">
        <v>75</v>
      </c>
      <c r="D21" t="s">
        <v>7</v>
      </c>
      <c r="E21" s="1">
        <v>114.12841095165682</v>
      </c>
      <c r="F21" s="2">
        <v>37663</v>
      </c>
    </row>
    <row r="22" spans="2:6" x14ac:dyDescent="0.3">
      <c r="B22" s="2">
        <v>37665</v>
      </c>
      <c r="C22">
        <v>77</v>
      </c>
      <c r="D22" t="s">
        <v>8</v>
      </c>
      <c r="E22" s="1">
        <v>846.56158080849423</v>
      </c>
      <c r="F22" s="2">
        <v>37664</v>
      </c>
    </row>
    <row r="23" spans="2:6" x14ac:dyDescent="0.3">
      <c r="B23" s="2">
        <v>37666</v>
      </c>
      <c r="C23">
        <v>79</v>
      </c>
      <c r="D23" t="s">
        <v>9</v>
      </c>
      <c r="E23" s="1">
        <v>692.07118747581296</v>
      </c>
      <c r="F23" s="2">
        <v>37665</v>
      </c>
    </row>
    <row r="24" spans="2:6" x14ac:dyDescent="0.3">
      <c r="B24" s="2">
        <v>37667</v>
      </c>
      <c r="C24">
        <v>81</v>
      </c>
      <c r="D24" t="s">
        <v>10</v>
      </c>
      <c r="E24" s="1">
        <v>854.15471876055619</v>
      </c>
      <c r="F24" s="2">
        <v>37666</v>
      </c>
    </row>
    <row r="25" spans="2:6" x14ac:dyDescent="0.3">
      <c r="B25" s="2">
        <v>37668</v>
      </c>
      <c r="C25">
        <v>83</v>
      </c>
      <c r="D25" t="s">
        <v>11</v>
      </c>
      <c r="E25" s="1">
        <v>502.04029567273278</v>
      </c>
      <c r="F25" s="2">
        <v>37667</v>
      </c>
    </row>
    <row r="26" spans="2:6" x14ac:dyDescent="0.3">
      <c r="B26" s="2">
        <v>37669</v>
      </c>
      <c r="C26">
        <v>85</v>
      </c>
      <c r="D26" t="s">
        <v>5</v>
      </c>
      <c r="E26" s="1">
        <v>979.70566583952495</v>
      </c>
      <c r="F26" s="2">
        <v>37668</v>
      </c>
    </row>
    <row r="27" spans="2:6" x14ac:dyDescent="0.3">
      <c r="B27" s="2">
        <v>37670</v>
      </c>
      <c r="C27">
        <v>87</v>
      </c>
      <c r="D27" t="s">
        <v>6</v>
      </c>
      <c r="E27" s="1">
        <v>817.95415522729866</v>
      </c>
      <c r="F27" s="2">
        <v>37669</v>
      </c>
    </row>
    <row r="28" spans="2:6" x14ac:dyDescent="0.3">
      <c r="B28" s="2">
        <v>37671</v>
      </c>
      <c r="C28">
        <v>89</v>
      </c>
      <c r="D28" t="s">
        <v>7</v>
      </c>
      <c r="E28" s="1">
        <v>596.45292976902465</v>
      </c>
      <c r="F28" s="2">
        <v>37670</v>
      </c>
    </row>
    <row r="29" spans="2:6" x14ac:dyDescent="0.3">
      <c r="B29" s="2">
        <v>37672</v>
      </c>
      <c r="C29">
        <v>91</v>
      </c>
      <c r="D29" t="s">
        <v>8</v>
      </c>
      <c r="E29" s="1">
        <v>379.71939939640862</v>
      </c>
      <c r="F29" s="2">
        <v>37671</v>
      </c>
    </row>
    <row r="30" spans="2:6" x14ac:dyDescent="0.3">
      <c r="B30" s="2">
        <v>37673</v>
      </c>
      <c r="C30">
        <v>93</v>
      </c>
      <c r="D30" t="s">
        <v>9</v>
      </c>
      <c r="E30" s="1">
        <v>154.61966646685443</v>
      </c>
      <c r="F30" s="2">
        <v>37672</v>
      </c>
    </row>
    <row r="31" spans="2:6" x14ac:dyDescent="0.3">
      <c r="B31" s="2">
        <v>37674</v>
      </c>
      <c r="C31">
        <v>95</v>
      </c>
      <c r="D31" t="s">
        <v>10</v>
      </c>
      <c r="E31" s="1">
        <v>786.13705575017229</v>
      </c>
      <c r="F31" s="2">
        <v>37673</v>
      </c>
    </row>
    <row r="32" spans="2:6" x14ac:dyDescent="0.3">
      <c r="B32" s="2">
        <v>37675</v>
      </c>
      <c r="C32">
        <v>97</v>
      </c>
      <c r="D32" t="s">
        <v>11</v>
      </c>
      <c r="E32" s="1">
        <v>689.81996388546054</v>
      </c>
      <c r="F32" s="2">
        <v>37674</v>
      </c>
    </row>
    <row r="33" spans="2:6" x14ac:dyDescent="0.3">
      <c r="B33" s="2">
        <v>37676</v>
      </c>
      <c r="C33">
        <v>99</v>
      </c>
      <c r="D33" t="s">
        <v>5</v>
      </c>
      <c r="E33" s="1">
        <v>0.17918615618306433</v>
      </c>
      <c r="F33" s="2">
        <v>37675</v>
      </c>
    </row>
    <row r="34" spans="2:6" x14ac:dyDescent="0.3">
      <c r="B34" s="2">
        <v>37677</v>
      </c>
      <c r="C34">
        <v>101</v>
      </c>
      <c r="D34" t="s">
        <v>6</v>
      </c>
      <c r="E34" s="1">
        <v>566.37989088126051</v>
      </c>
      <c r="F34" s="2">
        <v>37676</v>
      </c>
    </row>
    <row r="35" spans="2:6" x14ac:dyDescent="0.3">
      <c r="B35" s="2">
        <v>37678</v>
      </c>
      <c r="C35">
        <v>103</v>
      </c>
      <c r="D35" t="s">
        <v>7</v>
      </c>
      <c r="E35" s="1">
        <v>146.15355894496139</v>
      </c>
      <c r="F35" s="2">
        <v>37677</v>
      </c>
    </row>
    <row r="36" spans="2:6" x14ac:dyDescent="0.3">
      <c r="B36" s="2">
        <v>37679</v>
      </c>
      <c r="C36">
        <v>105</v>
      </c>
      <c r="D36" t="s">
        <v>8</v>
      </c>
      <c r="E36" s="1">
        <v>525.0459047866683</v>
      </c>
      <c r="F36" s="2">
        <v>37678</v>
      </c>
    </row>
    <row r="37" spans="2:6" x14ac:dyDescent="0.3">
      <c r="B37" s="2">
        <v>37680</v>
      </c>
      <c r="C37">
        <v>107</v>
      </c>
      <c r="D37" t="s">
        <v>9</v>
      </c>
      <c r="E37" s="1">
        <v>612.49823443021751</v>
      </c>
      <c r="F37" s="2">
        <v>37679</v>
      </c>
    </row>
  </sheetData>
  <mergeCells count="7">
    <mergeCell ref="H9:J9"/>
    <mergeCell ref="B3:F3"/>
    <mergeCell ref="H4:J4"/>
    <mergeCell ref="H5:J5"/>
    <mergeCell ref="H6:J6"/>
    <mergeCell ref="H7:J7"/>
    <mergeCell ref="H8:J8"/>
  </mergeCell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C6BFA-C1D5-4225-8BC8-4F2E9EF8FBEC}">
  <dimension ref="B1:R47"/>
  <sheetViews>
    <sheetView showGridLines="0" workbookViewId="0"/>
  </sheetViews>
  <sheetFormatPr defaultRowHeight="14.4" x14ac:dyDescent="0.3"/>
  <cols>
    <col min="1" max="1" width="1.8984375" customWidth="1"/>
    <col min="5" max="5" width="12.5" bestFit="1" customWidth="1"/>
    <col min="6" max="7" width="17.3984375" bestFit="1" customWidth="1"/>
    <col min="8" max="8" width="13.296875" bestFit="1" customWidth="1"/>
    <col min="10" max="10" width="12.5" bestFit="1" customWidth="1"/>
    <col min="11" max="11" width="12.09765625" bestFit="1" customWidth="1"/>
    <col min="12" max="12" width="1.8984375" customWidth="1"/>
  </cols>
  <sheetData>
    <row r="1" spans="2:18" ht="62.35" customHeight="1" x14ac:dyDescent="0.3"/>
    <row r="2" spans="2:18" ht="9.4" customHeight="1" thickBot="1" x14ac:dyDescent="0.35"/>
    <row r="3" spans="2:18" ht="18.45" thickBot="1" x14ac:dyDescent="0.4">
      <c r="B3" s="33" t="s">
        <v>39</v>
      </c>
      <c r="C3" s="34"/>
      <c r="D3" s="33" t="s">
        <v>25</v>
      </c>
      <c r="E3" s="50"/>
      <c r="F3" s="50"/>
      <c r="G3" s="50"/>
      <c r="H3" s="50"/>
      <c r="I3" s="50"/>
      <c r="J3" s="50"/>
      <c r="K3" s="34"/>
    </row>
    <row r="4" spans="2:18" ht="29.4" thickBot="1" x14ac:dyDescent="0.35">
      <c r="B4" s="6" t="s">
        <v>12</v>
      </c>
      <c r="C4" s="7" t="s">
        <v>1</v>
      </c>
      <c r="D4" s="7" t="s">
        <v>13</v>
      </c>
      <c r="E4" s="7" t="s">
        <v>14</v>
      </c>
      <c r="F4" s="7" t="s">
        <v>15</v>
      </c>
      <c r="G4" s="8" t="s">
        <v>16</v>
      </c>
      <c r="H4" s="7" t="s">
        <v>17</v>
      </c>
      <c r="I4" s="7" t="s">
        <v>18</v>
      </c>
      <c r="J4" s="7" t="s">
        <v>19</v>
      </c>
      <c r="K4" s="9" t="s">
        <v>20</v>
      </c>
    </row>
    <row r="5" spans="2:18" ht="15" thickBot="1" x14ac:dyDescent="0.35">
      <c r="B5" s="10" t="s">
        <v>23</v>
      </c>
      <c r="C5" s="11">
        <v>87</v>
      </c>
      <c r="D5" s="12">
        <v>1102</v>
      </c>
      <c r="E5" s="13">
        <v>37653</v>
      </c>
      <c r="F5" s="14">
        <v>10100100100010</v>
      </c>
      <c r="G5" s="14">
        <v>0</v>
      </c>
      <c r="H5" s="11" t="s">
        <v>21</v>
      </c>
      <c r="I5" s="11" t="s">
        <v>22</v>
      </c>
      <c r="J5" s="15">
        <v>706.97005383408396</v>
      </c>
      <c r="K5" s="16" t="str">
        <f>IFERROR(IF(VLOOKUP(Tabela1626[[#This Row],[NF]],Tabela337[NF],1,FALSE),"CONSTA","NÃO CONSTA"),"NÃO CONSTA")</f>
        <v>CONSTA</v>
      </c>
      <c r="M5" s="41" t="s">
        <v>31</v>
      </c>
      <c r="N5" s="42"/>
      <c r="O5" s="43"/>
    </row>
    <row r="6" spans="2:18" x14ac:dyDescent="0.3">
      <c r="B6" s="17" t="s">
        <v>23</v>
      </c>
      <c r="C6" s="18">
        <v>88</v>
      </c>
      <c r="D6" s="12">
        <v>1102</v>
      </c>
      <c r="E6" s="19">
        <v>37653</v>
      </c>
      <c r="F6" s="14">
        <v>210</v>
      </c>
      <c r="G6" s="14">
        <v>0</v>
      </c>
      <c r="H6" s="18" t="s">
        <v>21</v>
      </c>
      <c r="I6" s="18" t="s">
        <v>22</v>
      </c>
      <c r="J6" s="15">
        <v>63.501677862251697</v>
      </c>
      <c r="K6" s="16" t="str">
        <f>IFERROR(IF(VLOOKUP(Tabela1626[[#This Row],[NF]],Tabela337[NF],1,FALSE),"CONSTA","NÃO CONSTA"),"NÃO CONSTA")</f>
        <v>CONSTA</v>
      </c>
      <c r="M6" s="51" t="s">
        <v>26</v>
      </c>
      <c r="N6" s="52"/>
      <c r="O6" s="53"/>
    </row>
    <row r="7" spans="2:18" x14ac:dyDescent="0.3">
      <c r="B7" s="17" t="s">
        <v>23</v>
      </c>
      <c r="C7" s="11">
        <v>89</v>
      </c>
      <c r="D7" s="12">
        <v>1102</v>
      </c>
      <c r="E7" s="19">
        <v>37653</v>
      </c>
      <c r="F7" s="14">
        <v>320</v>
      </c>
      <c r="G7" s="14">
        <v>0</v>
      </c>
      <c r="H7" s="18" t="s">
        <v>21</v>
      </c>
      <c r="I7" s="18" t="s">
        <v>22</v>
      </c>
      <c r="J7" s="15">
        <v>335.23981553171558</v>
      </c>
      <c r="K7" s="16" t="str">
        <f>IFERROR(IF(VLOOKUP(Tabela1626[[#This Row],[NF]],Tabela337[NF],1,FALSE),"CONSTA","NÃO CONSTA"),"NÃO CONSTA")</f>
        <v>CONSTA</v>
      </c>
      <c r="M7" s="54" t="s">
        <v>27</v>
      </c>
      <c r="N7" s="55"/>
      <c r="O7" s="56"/>
    </row>
    <row r="8" spans="2:18" x14ac:dyDescent="0.3">
      <c r="B8" s="20" t="s">
        <v>23</v>
      </c>
      <c r="C8" s="18">
        <v>90</v>
      </c>
      <c r="D8" s="12">
        <v>1102</v>
      </c>
      <c r="E8" s="22">
        <v>37653</v>
      </c>
      <c r="F8" s="23">
        <v>430</v>
      </c>
      <c r="G8" s="14">
        <v>0</v>
      </c>
      <c r="H8" s="21" t="s">
        <v>21</v>
      </c>
      <c r="I8" s="21" t="s">
        <v>22</v>
      </c>
      <c r="J8" s="15">
        <v>439.57151505412043</v>
      </c>
      <c r="K8" s="24" t="str">
        <f>IFERROR(IF(VLOOKUP(Tabela1626[[#This Row],[NF]],Tabela337[NF],1,FALSE),"CONSTA","NÃO CONSTA"),"NÃO CONSTA")</f>
        <v>CONSTA</v>
      </c>
      <c r="M8" s="57" t="s">
        <v>32</v>
      </c>
      <c r="N8" s="58"/>
      <c r="O8" s="59"/>
    </row>
    <row r="9" spans="2:18" x14ac:dyDescent="0.3">
      <c r="B9" s="17" t="s">
        <v>23</v>
      </c>
      <c r="C9" s="11">
        <v>91</v>
      </c>
      <c r="D9" s="12">
        <v>1102</v>
      </c>
      <c r="E9" s="19">
        <v>37654</v>
      </c>
      <c r="F9" s="14">
        <v>540</v>
      </c>
      <c r="G9" s="14">
        <v>0</v>
      </c>
      <c r="H9" s="18" t="s">
        <v>21</v>
      </c>
      <c r="I9" s="18" t="s">
        <v>22</v>
      </c>
      <c r="J9" s="15">
        <v>326.31943248132802</v>
      </c>
      <c r="K9" s="16" t="str">
        <f>IFERROR(IF(VLOOKUP(Tabela1626[[#This Row],[NF]],Tabela337[NF],1,FALSE),"CONSTA","NÃO CONSTA"),"NÃO CONSTA")</f>
        <v>CONSTA</v>
      </c>
      <c r="M9" s="54" t="s">
        <v>30</v>
      </c>
      <c r="N9" s="55"/>
      <c r="O9" s="56"/>
    </row>
    <row r="10" spans="2:18" ht="15" thickBot="1" x14ac:dyDescent="0.35">
      <c r="B10" s="17" t="s">
        <v>23</v>
      </c>
      <c r="C10" s="18">
        <v>92</v>
      </c>
      <c r="D10" s="12">
        <v>1102</v>
      </c>
      <c r="E10" s="19">
        <v>37654</v>
      </c>
      <c r="F10" s="14">
        <v>650</v>
      </c>
      <c r="G10" s="14">
        <v>0</v>
      </c>
      <c r="H10" s="18" t="s">
        <v>21</v>
      </c>
      <c r="I10" s="18" t="s">
        <v>22</v>
      </c>
      <c r="J10" s="15">
        <v>783.41079789866785</v>
      </c>
      <c r="K10" s="16" t="str">
        <f>IFERROR(IF(VLOOKUP(Tabela1626[[#This Row],[NF]],Tabela337[NF],1,FALSE),"CONSTA","NÃO CONSTA"),"NÃO CONSTA")</f>
        <v>CONSTA</v>
      </c>
      <c r="M10" s="38" t="s">
        <v>29</v>
      </c>
      <c r="N10" s="39"/>
      <c r="O10" s="40"/>
    </row>
    <row r="11" spans="2:18" ht="15" thickBot="1" x14ac:dyDescent="0.35">
      <c r="B11" s="17" t="s">
        <v>23</v>
      </c>
      <c r="C11" s="11">
        <v>93</v>
      </c>
      <c r="D11" s="12">
        <v>1102</v>
      </c>
      <c r="E11" s="19">
        <v>37654</v>
      </c>
      <c r="F11" s="14">
        <v>760</v>
      </c>
      <c r="G11" s="14">
        <v>0</v>
      </c>
      <c r="H11" s="18" t="s">
        <v>21</v>
      </c>
      <c r="I11" s="18" t="s">
        <v>22</v>
      </c>
      <c r="J11" s="15">
        <v>745.20365762531878</v>
      </c>
      <c r="K11" s="16" t="str">
        <f>IFERROR(IF(VLOOKUP(Tabela1626[[#This Row],[NF]],Tabela337[NF],1,FALSE),"CONSTA","NÃO CONSTA"),"NÃO CONSTA")</f>
        <v>CONSTA</v>
      </c>
    </row>
    <row r="12" spans="2:18" ht="15" thickBot="1" x14ac:dyDescent="0.35">
      <c r="B12" s="17" t="s">
        <v>23</v>
      </c>
      <c r="C12" s="18">
        <v>94</v>
      </c>
      <c r="D12" s="12">
        <v>1102</v>
      </c>
      <c r="E12" s="19">
        <v>37654</v>
      </c>
      <c r="F12" s="14">
        <v>870</v>
      </c>
      <c r="G12" s="14">
        <v>0</v>
      </c>
      <c r="H12" s="18" t="s">
        <v>21</v>
      </c>
      <c r="I12" s="18" t="s">
        <v>22</v>
      </c>
      <c r="J12" s="15">
        <v>167.42065440777475</v>
      </c>
      <c r="K12" s="16" t="str">
        <f>IFERROR(IF(VLOOKUP(Tabela1626[[#This Row],[NF]],Tabela337[NF],1,FALSE),"CONSTA","NÃO CONSTA"),"NÃO CONSTA")</f>
        <v>CONSTA</v>
      </c>
      <c r="M12" s="41" t="s">
        <v>35</v>
      </c>
      <c r="N12" s="42"/>
      <c r="O12" s="42"/>
      <c r="P12" s="42"/>
      <c r="Q12" s="42"/>
      <c r="R12" s="43"/>
    </row>
    <row r="13" spans="2:18" x14ac:dyDescent="0.3">
      <c r="B13" s="17" t="s">
        <v>23</v>
      </c>
      <c r="C13" s="11">
        <v>95</v>
      </c>
      <c r="D13" s="12">
        <v>1102</v>
      </c>
      <c r="E13" s="19">
        <v>37654</v>
      </c>
      <c r="F13" s="14">
        <v>980</v>
      </c>
      <c r="G13" s="14">
        <v>0</v>
      </c>
      <c r="H13" s="18" t="s">
        <v>21</v>
      </c>
      <c r="I13" s="18" t="s">
        <v>22</v>
      </c>
      <c r="J13" s="15">
        <v>268.4543087013962</v>
      </c>
      <c r="K13" s="16" t="str">
        <f>IFERROR(IF(VLOOKUP(Tabela1626[[#This Row],[NF]],Tabela337[NF],1,FALSE),"CONSTA","NÃO CONSTA"),"NÃO CONSTA")</f>
        <v>CONSTA</v>
      </c>
      <c r="M13" s="44" t="s">
        <v>33</v>
      </c>
      <c r="N13" s="45"/>
      <c r="O13" s="45"/>
      <c r="P13" s="45"/>
      <c r="Q13" s="45"/>
      <c r="R13" s="46"/>
    </row>
    <row r="14" spans="2:18" x14ac:dyDescent="0.3">
      <c r="B14" s="17" t="s">
        <v>23</v>
      </c>
      <c r="C14" s="18">
        <v>96</v>
      </c>
      <c r="D14" s="12">
        <v>1102</v>
      </c>
      <c r="E14" s="19">
        <v>37654</v>
      </c>
      <c r="F14" s="14">
        <v>1090</v>
      </c>
      <c r="G14" s="14">
        <v>0</v>
      </c>
      <c r="H14" s="18" t="s">
        <v>21</v>
      </c>
      <c r="I14" s="18" t="s">
        <v>22</v>
      </c>
      <c r="J14" s="15">
        <v>449.11889027298866</v>
      </c>
      <c r="K14" s="16" t="str">
        <f>IFERROR(IF(VLOOKUP(Tabela1626[[#This Row],[NF]],Tabela337[NF],1,FALSE),"CONSTA","NÃO CONSTA"),"NÃO CONSTA")</f>
        <v>CONSTA</v>
      </c>
      <c r="M14" s="47" t="s">
        <v>34</v>
      </c>
      <c r="N14" s="48"/>
      <c r="O14" s="48"/>
      <c r="P14" s="48"/>
      <c r="Q14" s="48"/>
      <c r="R14" s="49"/>
    </row>
    <row r="15" spans="2:18" ht="15" thickBot="1" x14ac:dyDescent="0.35">
      <c r="B15" s="17" t="s">
        <v>23</v>
      </c>
      <c r="C15" s="11">
        <v>97</v>
      </c>
      <c r="D15" s="12">
        <v>1102</v>
      </c>
      <c r="E15" s="19">
        <v>37655</v>
      </c>
      <c r="F15" s="23">
        <v>1200</v>
      </c>
      <c r="G15" s="14">
        <v>0</v>
      </c>
      <c r="H15" s="18" t="s">
        <v>21</v>
      </c>
      <c r="I15" s="18" t="s">
        <v>22</v>
      </c>
      <c r="J15" s="15">
        <v>193.37525647327803</v>
      </c>
      <c r="K15" s="16" t="str">
        <f>IFERROR(IF(VLOOKUP(Tabela1626[[#This Row],[NF]],Tabela337[NF],1,FALSE),"CONSTA","NÃO CONSTA"),"NÃO CONSTA")</f>
        <v>CONSTA</v>
      </c>
      <c r="M15" s="35" t="s">
        <v>40</v>
      </c>
      <c r="N15" s="36"/>
      <c r="O15" s="36"/>
      <c r="P15" s="36"/>
      <c r="Q15" s="36"/>
      <c r="R15" s="37"/>
    </row>
    <row r="16" spans="2:18" x14ac:dyDescent="0.3">
      <c r="B16" s="17" t="s">
        <v>23</v>
      </c>
      <c r="C16" s="18">
        <v>98</v>
      </c>
      <c r="D16" s="12">
        <v>1102</v>
      </c>
      <c r="E16" s="19">
        <v>37655</v>
      </c>
      <c r="F16" s="14">
        <v>1310</v>
      </c>
      <c r="G16" s="14">
        <v>0</v>
      </c>
      <c r="H16" s="18" t="s">
        <v>21</v>
      </c>
      <c r="I16" s="18" t="s">
        <v>22</v>
      </c>
      <c r="J16" s="15">
        <v>777.65727070219646</v>
      </c>
      <c r="K16" s="16" t="str">
        <f>IFERROR(IF(VLOOKUP(Tabela1626[[#This Row],[NF]],Tabela337[NF],1,FALSE),"CONSTA","NÃO CONSTA"),"NÃO CONSTA")</f>
        <v>CONSTA</v>
      </c>
    </row>
    <row r="17" spans="2:11" x14ac:dyDescent="0.3">
      <c r="B17" s="20" t="s">
        <v>23</v>
      </c>
      <c r="C17" s="11">
        <v>99</v>
      </c>
      <c r="D17" s="12">
        <v>1102</v>
      </c>
      <c r="E17" s="22">
        <v>37655</v>
      </c>
      <c r="F17" s="14">
        <v>1420</v>
      </c>
      <c r="G17" s="14">
        <v>0</v>
      </c>
      <c r="H17" s="21" t="s">
        <v>21</v>
      </c>
      <c r="I17" s="21" t="s">
        <v>22</v>
      </c>
      <c r="J17" s="15">
        <v>594.39570939184466</v>
      </c>
      <c r="K17" s="24" t="str">
        <f>IFERROR(IF(VLOOKUP(Tabela1626[[#This Row],[NF]],Tabela337[NF],1,FALSE),"CONSTA","NÃO CONSTA"),"NÃO CONSTA")</f>
        <v>CONSTA</v>
      </c>
    </row>
    <row r="18" spans="2:11" x14ac:dyDescent="0.3">
      <c r="B18" s="20" t="s">
        <v>23</v>
      </c>
      <c r="C18" s="18">
        <v>100</v>
      </c>
      <c r="D18" s="12">
        <v>1102</v>
      </c>
      <c r="E18" s="22">
        <v>37655</v>
      </c>
      <c r="F18" s="14">
        <v>1530</v>
      </c>
      <c r="G18" s="14">
        <v>0</v>
      </c>
      <c r="H18" s="21" t="s">
        <v>21</v>
      </c>
      <c r="I18" s="21" t="s">
        <v>22</v>
      </c>
      <c r="J18" s="15">
        <v>542.90252495341201</v>
      </c>
      <c r="K18" s="24" t="str">
        <f>IFERROR(IF(VLOOKUP(Tabela1626[[#This Row],[NF]],Tabela337[NF],1,FALSE),"CONSTA","NÃO CONSTA"),"NÃO CONSTA")</f>
        <v>CONSTA</v>
      </c>
    </row>
    <row r="19" spans="2:11" x14ac:dyDescent="0.3">
      <c r="B19" s="17" t="s">
        <v>23</v>
      </c>
      <c r="C19" s="11">
        <v>101</v>
      </c>
      <c r="D19" s="12">
        <v>1102</v>
      </c>
      <c r="E19" s="19">
        <v>37655</v>
      </c>
      <c r="F19" s="14">
        <v>1640</v>
      </c>
      <c r="G19" s="14">
        <v>0</v>
      </c>
      <c r="H19" s="18" t="s">
        <v>24</v>
      </c>
      <c r="I19" s="18" t="s">
        <v>22</v>
      </c>
      <c r="J19" s="15">
        <v>663.19162540795946</v>
      </c>
      <c r="K19" s="16" t="str">
        <f>IFERROR(IF(VLOOKUP(Tabela1626[[#This Row],[NF]],Tabela337[NF],1,FALSE),"CONSTA","NÃO CONSTA"),"NÃO CONSTA")</f>
        <v>CONSTA</v>
      </c>
    </row>
    <row r="20" spans="2:11" x14ac:dyDescent="0.3">
      <c r="B20" s="17" t="s">
        <v>23</v>
      </c>
      <c r="C20" s="18">
        <v>102</v>
      </c>
      <c r="D20" s="12">
        <v>1102</v>
      </c>
      <c r="E20" s="19">
        <v>37655</v>
      </c>
      <c r="F20" s="14">
        <v>1750</v>
      </c>
      <c r="G20" s="14">
        <v>0</v>
      </c>
      <c r="H20" s="18" t="s">
        <v>21</v>
      </c>
      <c r="I20" s="18" t="s">
        <v>22</v>
      </c>
      <c r="J20" s="15">
        <v>562.69487231319283</v>
      </c>
      <c r="K20" s="16" t="str">
        <f>IFERROR(IF(VLOOKUP(Tabela1626[[#This Row],[NF]],Tabela337[NF],1,FALSE),"CONSTA","NÃO CONSTA"),"NÃO CONSTA")</f>
        <v>CONSTA</v>
      </c>
    </row>
    <row r="21" spans="2:11" x14ac:dyDescent="0.3">
      <c r="B21" s="17" t="s">
        <v>23</v>
      </c>
      <c r="C21" s="11">
        <v>103</v>
      </c>
      <c r="D21" s="12">
        <v>1102</v>
      </c>
      <c r="E21" s="19">
        <v>37655</v>
      </c>
      <c r="F21" s="14">
        <v>1860</v>
      </c>
      <c r="G21" s="14">
        <v>0</v>
      </c>
      <c r="H21" s="18" t="s">
        <v>21</v>
      </c>
      <c r="I21" s="18" t="s">
        <v>22</v>
      </c>
      <c r="J21" s="15">
        <v>613.28678997127861</v>
      </c>
      <c r="K21" s="16" t="str">
        <f>IFERROR(IF(VLOOKUP(Tabela1626[[#This Row],[NF]],Tabela337[NF],1,FALSE),"CONSTA","NÃO CONSTA"),"NÃO CONSTA")</f>
        <v>CONSTA</v>
      </c>
    </row>
    <row r="22" spans="2:11" x14ac:dyDescent="0.3">
      <c r="B22" s="17" t="s">
        <v>23</v>
      </c>
      <c r="C22" s="18">
        <v>104</v>
      </c>
      <c r="D22" s="12">
        <v>1102</v>
      </c>
      <c r="E22" s="19">
        <v>37655</v>
      </c>
      <c r="F22" s="23">
        <v>1970</v>
      </c>
      <c r="G22" s="14">
        <v>0</v>
      </c>
      <c r="H22" s="18" t="s">
        <v>21</v>
      </c>
      <c r="I22" s="18" t="s">
        <v>22</v>
      </c>
      <c r="J22" s="15">
        <v>477.01573058438072</v>
      </c>
      <c r="K22" s="16" t="str">
        <f>IFERROR(IF(VLOOKUP(Tabela1626[[#This Row],[NF]],Tabela337[NF],1,FALSE),"CONSTA","NÃO CONSTA"),"NÃO CONSTA")</f>
        <v>CONSTA</v>
      </c>
    </row>
    <row r="23" spans="2:11" x14ac:dyDescent="0.3">
      <c r="B23" s="17" t="s">
        <v>23</v>
      </c>
      <c r="C23" s="11">
        <v>105</v>
      </c>
      <c r="D23" s="12">
        <v>1102</v>
      </c>
      <c r="E23" s="19">
        <v>37656</v>
      </c>
      <c r="F23" s="14">
        <v>2080</v>
      </c>
      <c r="G23" s="14">
        <v>0</v>
      </c>
      <c r="H23" s="18" t="s">
        <v>21</v>
      </c>
      <c r="I23" s="18" t="s">
        <v>22</v>
      </c>
      <c r="J23" s="15">
        <v>13.091295953144177</v>
      </c>
      <c r="K23" s="16" t="str">
        <f>IFERROR(IF(VLOOKUP(Tabela1626[[#This Row],[NF]],Tabela337[NF],1,FALSE),"CONSTA","NÃO CONSTA"),"NÃO CONSTA")</f>
        <v>CONSTA</v>
      </c>
    </row>
    <row r="24" spans="2:11" x14ac:dyDescent="0.3">
      <c r="B24" s="17" t="s">
        <v>23</v>
      </c>
      <c r="C24" s="18">
        <v>106</v>
      </c>
      <c r="D24" s="12">
        <v>1102</v>
      </c>
      <c r="E24" s="19">
        <v>37657</v>
      </c>
      <c r="F24" s="14">
        <v>2190</v>
      </c>
      <c r="G24" s="14">
        <v>0</v>
      </c>
      <c r="H24" s="18" t="s">
        <v>21</v>
      </c>
      <c r="I24" s="18" t="s">
        <v>22</v>
      </c>
      <c r="J24" s="15">
        <v>659.97313529933638</v>
      </c>
      <c r="K24" s="16" t="str">
        <f>IFERROR(IF(VLOOKUP(Tabela1626[[#This Row],[NF]],Tabela337[NF],1,FALSE),"CONSTA","NÃO CONSTA"),"NÃO CONSTA")</f>
        <v>CONSTA</v>
      </c>
    </row>
    <row r="25" spans="2:11" x14ac:dyDescent="0.3">
      <c r="B25" s="17" t="s">
        <v>23</v>
      </c>
      <c r="C25" s="11">
        <v>107</v>
      </c>
      <c r="D25" s="12">
        <v>1102</v>
      </c>
      <c r="E25" s="19">
        <v>37658</v>
      </c>
      <c r="F25" s="14">
        <v>2300</v>
      </c>
      <c r="G25" s="14">
        <v>0</v>
      </c>
      <c r="H25" s="18" t="s">
        <v>21</v>
      </c>
      <c r="I25" s="18" t="s">
        <v>22</v>
      </c>
      <c r="J25" s="15">
        <v>701.74664487137545</v>
      </c>
      <c r="K25" s="16" t="str">
        <f>IFERROR(IF(VLOOKUP(Tabela1626[[#This Row],[NF]],Tabela337[NF],1,FALSE),"CONSTA","NÃO CONSTA"),"NÃO CONSTA")</f>
        <v>CONSTA</v>
      </c>
    </row>
    <row r="26" spans="2:11" x14ac:dyDescent="0.3">
      <c r="B26" s="17" t="s">
        <v>23</v>
      </c>
      <c r="C26" s="18">
        <v>108</v>
      </c>
      <c r="D26" s="12">
        <v>1102</v>
      </c>
      <c r="E26" s="19">
        <v>37659</v>
      </c>
      <c r="F26" s="14">
        <v>2410</v>
      </c>
      <c r="G26" s="14">
        <v>0</v>
      </c>
      <c r="H26" s="18" t="s">
        <v>21</v>
      </c>
      <c r="I26" s="18" t="s">
        <v>22</v>
      </c>
      <c r="J26" s="15">
        <v>177.44381151161392</v>
      </c>
      <c r="K26" s="16" t="str">
        <f>IFERROR(IF(VLOOKUP(Tabela1626[[#This Row],[NF]],Tabela337[NF],1,FALSE),"CONSTA","NÃO CONSTA"),"NÃO CONSTA")</f>
        <v>CONSTA</v>
      </c>
    </row>
    <row r="27" spans="2:11" x14ac:dyDescent="0.3">
      <c r="B27" s="17" t="s">
        <v>23</v>
      </c>
      <c r="C27" s="11">
        <v>109</v>
      </c>
      <c r="D27" s="12">
        <v>1102</v>
      </c>
      <c r="E27" s="19">
        <v>37660</v>
      </c>
      <c r="F27" s="14">
        <v>2520</v>
      </c>
      <c r="G27" s="14">
        <v>0</v>
      </c>
      <c r="H27" s="18" t="s">
        <v>21</v>
      </c>
      <c r="I27" s="18" t="s">
        <v>22</v>
      </c>
      <c r="J27" s="15">
        <v>865.66043802968295</v>
      </c>
      <c r="K27" s="16" t="str">
        <f>IFERROR(IF(VLOOKUP(Tabela1626[[#This Row],[NF]],Tabela337[NF],1,FALSE),"CONSTA","NÃO CONSTA"),"NÃO CONSTA")</f>
        <v>CONSTA</v>
      </c>
    </row>
    <row r="28" spans="2:11" x14ac:dyDescent="0.3">
      <c r="B28" s="17" t="s">
        <v>23</v>
      </c>
      <c r="C28" s="18">
        <v>110</v>
      </c>
      <c r="D28" s="12">
        <v>1102</v>
      </c>
      <c r="E28" s="19">
        <v>37661</v>
      </c>
      <c r="F28" s="14">
        <v>2630</v>
      </c>
      <c r="G28" s="14">
        <v>0</v>
      </c>
      <c r="H28" s="18" t="s">
        <v>21</v>
      </c>
      <c r="I28" s="18" t="s">
        <v>22</v>
      </c>
      <c r="J28" s="15">
        <v>156.83575259415073</v>
      </c>
      <c r="K28" s="16" t="str">
        <f>IFERROR(IF(VLOOKUP(Tabela1626[[#This Row],[NF]],Tabela337[NF],1,FALSE),"CONSTA","NÃO CONSTA"),"NÃO CONSTA")</f>
        <v>CONSTA</v>
      </c>
    </row>
    <row r="29" spans="2:11" x14ac:dyDescent="0.3">
      <c r="B29" s="17" t="s">
        <v>23</v>
      </c>
      <c r="C29" s="11">
        <v>111</v>
      </c>
      <c r="D29" s="12">
        <v>1102</v>
      </c>
      <c r="E29" s="19">
        <v>37662</v>
      </c>
      <c r="F29" s="23">
        <v>2740</v>
      </c>
      <c r="G29" s="14">
        <v>0</v>
      </c>
      <c r="H29" s="18" t="s">
        <v>21</v>
      </c>
      <c r="I29" s="18" t="s">
        <v>22</v>
      </c>
      <c r="J29" s="15">
        <v>861.41085419041144</v>
      </c>
      <c r="K29" s="16" t="str">
        <f>IFERROR(IF(VLOOKUP(Tabela1626[[#This Row],[NF]],Tabela337[NF],1,FALSE),"CONSTA","NÃO CONSTA"),"NÃO CONSTA")</f>
        <v>CONSTA</v>
      </c>
    </row>
    <row r="30" spans="2:11" x14ac:dyDescent="0.3">
      <c r="B30" s="17" t="s">
        <v>23</v>
      </c>
      <c r="C30" s="18">
        <v>112</v>
      </c>
      <c r="D30" s="12">
        <v>1102</v>
      </c>
      <c r="E30" s="19">
        <v>37663</v>
      </c>
      <c r="F30" s="14">
        <v>2850</v>
      </c>
      <c r="G30" s="14">
        <v>0</v>
      </c>
      <c r="H30" s="18" t="s">
        <v>21</v>
      </c>
      <c r="I30" s="18" t="s">
        <v>22</v>
      </c>
      <c r="J30" s="15">
        <v>699.28060645933977</v>
      </c>
      <c r="K30" s="16" t="str">
        <f>IFERROR(IF(VLOOKUP(Tabela1626[[#This Row],[NF]],Tabela337[NF],1,FALSE),"CONSTA","NÃO CONSTA"),"NÃO CONSTA")</f>
        <v>CONSTA</v>
      </c>
    </row>
    <row r="31" spans="2:11" x14ac:dyDescent="0.3">
      <c r="B31" s="17" t="s">
        <v>23</v>
      </c>
      <c r="C31" s="11">
        <v>113</v>
      </c>
      <c r="D31" s="12">
        <v>1102</v>
      </c>
      <c r="E31" s="19">
        <v>37664</v>
      </c>
      <c r="F31" s="14">
        <v>2960</v>
      </c>
      <c r="G31" s="14">
        <v>0</v>
      </c>
      <c r="H31" s="18" t="s">
        <v>21</v>
      </c>
      <c r="I31" s="18" t="s">
        <v>22</v>
      </c>
      <c r="J31" s="15">
        <v>930.00008013206013</v>
      </c>
      <c r="K31" s="16" t="str">
        <f>IFERROR(IF(VLOOKUP(Tabela1626[[#This Row],[NF]],Tabela337[NF],1,FALSE),"CONSTA","NÃO CONSTA"),"NÃO CONSTA")</f>
        <v>CONSTA</v>
      </c>
    </row>
    <row r="32" spans="2:11" x14ac:dyDescent="0.3">
      <c r="B32" s="17" t="s">
        <v>23</v>
      </c>
      <c r="C32" s="18">
        <v>114</v>
      </c>
      <c r="D32" s="12">
        <v>1102</v>
      </c>
      <c r="E32" s="19">
        <v>37665</v>
      </c>
      <c r="F32" s="14">
        <v>3070</v>
      </c>
      <c r="G32" s="14">
        <v>0</v>
      </c>
      <c r="H32" s="18" t="s">
        <v>21</v>
      </c>
      <c r="I32" s="18" t="s">
        <v>22</v>
      </c>
      <c r="J32" s="15">
        <v>957.97119250652952</v>
      </c>
      <c r="K32" s="16" t="str">
        <f>IFERROR(IF(VLOOKUP(Tabela1626[[#This Row],[NF]],Tabela337[NF],1,FALSE),"CONSTA","NÃO CONSTA"),"NÃO CONSTA")</f>
        <v>CONSTA</v>
      </c>
    </row>
    <row r="33" spans="2:11" x14ac:dyDescent="0.3">
      <c r="B33" s="17" t="s">
        <v>23</v>
      </c>
      <c r="C33" s="11">
        <v>115</v>
      </c>
      <c r="D33" s="12">
        <v>1102</v>
      </c>
      <c r="E33" s="19">
        <v>37666</v>
      </c>
      <c r="F33" s="14">
        <v>3180</v>
      </c>
      <c r="G33" s="14">
        <v>0</v>
      </c>
      <c r="H33" s="18" t="s">
        <v>21</v>
      </c>
      <c r="I33" s="18" t="s">
        <v>22</v>
      </c>
      <c r="J33" s="15">
        <v>783.76922811050315</v>
      </c>
      <c r="K33" s="16" t="str">
        <f>IFERROR(IF(VLOOKUP(Tabela1626[[#This Row],[NF]],Tabela337[NF],1,FALSE),"CONSTA","NÃO CONSTA"),"NÃO CONSTA")</f>
        <v>CONSTA</v>
      </c>
    </row>
    <row r="34" spans="2:11" x14ac:dyDescent="0.3">
      <c r="B34" s="17" t="s">
        <v>23</v>
      </c>
      <c r="C34" s="18">
        <v>116</v>
      </c>
      <c r="D34" s="12">
        <v>1102</v>
      </c>
      <c r="E34" s="19">
        <v>37667</v>
      </c>
      <c r="F34" s="14">
        <v>3290</v>
      </c>
      <c r="G34" s="14">
        <v>0</v>
      </c>
      <c r="H34" s="18" t="s">
        <v>21</v>
      </c>
      <c r="I34" s="18" t="s">
        <v>22</v>
      </c>
      <c r="J34" s="15">
        <v>463.28771628991336</v>
      </c>
      <c r="K34" s="16" t="str">
        <f>IFERROR(IF(VLOOKUP(Tabela1626[[#This Row],[NF]],Tabela337[NF],1,FALSE),"CONSTA","NÃO CONSTA"),"NÃO CONSTA")</f>
        <v>CONSTA</v>
      </c>
    </row>
    <row r="35" spans="2:11" x14ac:dyDescent="0.3">
      <c r="B35" s="17" t="s">
        <v>23</v>
      </c>
      <c r="C35" s="11">
        <v>117</v>
      </c>
      <c r="D35" s="12">
        <v>1102</v>
      </c>
      <c r="E35" s="19">
        <v>37668</v>
      </c>
      <c r="F35" s="14">
        <v>3400</v>
      </c>
      <c r="G35" s="14">
        <v>0</v>
      </c>
      <c r="H35" s="18" t="s">
        <v>21</v>
      </c>
      <c r="I35" s="18" t="s">
        <v>22</v>
      </c>
      <c r="J35" s="15">
        <v>872.18534549766184</v>
      </c>
      <c r="K35" s="16" t="str">
        <f>IFERROR(IF(VLOOKUP(Tabela1626[[#This Row],[NF]],Tabela337[NF],1,FALSE),"CONSTA","NÃO CONSTA"),"NÃO CONSTA")</f>
        <v>CONSTA</v>
      </c>
    </row>
    <row r="36" spans="2:11" x14ac:dyDescent="0.3">
      <c r="B36" s="17" t="s">
        <v>23</v>
      </c>
      <c r="C36" s="18">
        <v>118</v>
      </c>
      <c r="D36" s="12">
        <v>1102</v>
      </c>
      <c r="E36" s="19">
        <v>37669</v>
      </c>
      <c r="F36" s="23">
        <v>3510</v>
      </c>
      <c r="G36" s="14">
        <v>0</v>
      </c>
      <c r="H36" s="18" t="s">
        <v>21</v>
      </c>
      <c r="I36" s="18" t="s">
        <v>22</v>
      </c>
      <c r="J36" s="15">
        <v>894.83169350566209</v>
      </c>
      <c r="K36" s="16" t="str">
        <f>IFERROR(IF(VLOOKUP(Tabela1626[[#This Row],[NF]],Tabela337[NF],1,FALSE),"CONSTA","NÃO CONSTA"),"NÃO CONSTA")</f>
        <v>CONSTA</v>
      </c>
    </row>
    <row r="37" spans="2:11" x14ac:dyDescent="0.3">
      <c r="B37" s="17" t="s">
        <v>23</v>
      </c>
      <c r="C37" s="11">
        <v>119</v>
      </c>
      <c r="D37" s="12">
        <v>1102</v>
      </c>
      <c r="E37" s="19">
        <v>37670</v>
      </c>
      <c r="F37" s="14">
        <v>3620</v>
      </c>
      <c r="G37" s="14">
        <v>0</v>
      </c>
      <c r="H37" s="18" t="s">
        <v>21</v>
      </c>
      <c r="I37" s="18" t="s">
        <v>22</v>
      </c>
      <c r="J37" s="15">
        <v>169.64047557972506</v>
      </c>
      <c r="K37" s="16" t="str">
        <f>IFERROR(IF(VLOOKUP(Tabela1626[[#This Row],[NF]],Tabela337[NF],1,FALSE),"CONSTA","NÃO CONSTA"),"NÃO CONSTA")</f>
        <v>CONSTA</v>
      </c>
    </row>
    <row r="38" spans="2:11" x14ac:dyDescent="0.3">
      <c r="B38" s="17" t="s">
        <v>23</v>
      </c>
      <c r="C38" s="18">
        <v>120</v>
      </c>
      <c r="D38" s="12">
        <v>1102</v>
      </c>
      <c r="E38" s="19">
        <v>37671</v>
      </c>
      <c r="F38" s="14">
        <v>3730</v>
      </c>
      <c r="G38" s="14">
        <v>0</v>
      </c>
      <c r="H38" s="18" t="s">
        <v>21</v>
      </c>
      <c r="I38" s="18" t="s">
        <v>22</v>
      </c>
      <c r="J38" s="15">
        <v>211.70922910654355</v>
      </c>
      <c r="K38" s="16" t="str">
        <f>IFERROR(IF(VLOOKUP(Tabela1626[[#This Row],[NF]],Tabela337[NF],1,FALSE),"CONSTA","NÃO CONSTA"),"NÃO CONSTA")</f>
        <v>NÃO CONSTA</v>
      </c>
    </row>
    <row r="39" spans="2:11" x14ac:dyDescent="0.3">
      <c r="B39" s="17" t="s">
        <v>23</v>
      </c>
      <c r="C39" s="11">
        <v>121</v>
      </c>
      <c r="D39" s="12">
        <v>1102</v>
      </c>
      <c r="E39" s="19">
        <v>37672</v>
      </c>
      <c r="F39" s="14">
        <v>3840</v>
      </c>
      <c r="G39" s="14">
        <v>0</v>
      </c>
      <c r="H39" s="18" t="s">
        <v>21</v>
      </c>
      <c r="I39" s="18" t="s">
        <v>22</v>
      </c>
      <c r="J39" s="15">
        <v>631.49017481870817</v>
      </c>
      <c r="K39" s="16" t="str">
        <f>IFERROR(IF(VLOOKUP(Tabela1626[[#This Row],[NF]],Tabela337[NF],1,FALSE),"CONSTA","NÃO CONSTA"),"NÃO CONSTA")</f>
        <v>NÃO CONSTA</v>
      </c>
    </row>
    <row r="40" spans="2:11" x14ac:dyDescent="0.3">
      <c r="B40" s="17" t="s">
        <v>23</v>
      </c>
      <c r="C40" s="18">
        <v>122</v>
      </c>
      <c r="D40" s="12">
        <v>1102</v>
      </c>
      <c r="E40" s="19">
        <v>37673</v>
      </c>
      <c r="F40" s="14">
        <v>3950</v>
      </c>
      <c r="G40" s="14">
        <v>0</v>
      </c>
      <c r="H40" s="18" t="s">
        <v>21</v>
      </c>
      <c r="I40" s="18" t="s">
        <v>22</v>
      </c>
      <c r="J40" s="15">
        <v>58.755047676871229</v>
      </c>
      <c r="K40" s="16" t="str">
        <f>IFERROR(IF(VLOOKUP(Tabela1626[[#This Row],[NF]],Tabela337[NF],1,FALSE),"CONSTA","NÃO CONSTA"),"NÃO CONSTA")</f>
        <v>NÃO CONSTA</v>
      </c>
    </row>
    <row r="41" spans="2:11" x14ac:dyDescent="0.3">
      <c r="B41" s="17" t="s">
        <v>23</v>
      </c>
      <c r="C41" s="11">
        <v>123</v>
      </c>
      <c r="D41" s="12">
        <v>1102</v>
      </c>
      <c r="E41" s="19">
        <v>37674</v>
      </c>
      <c r="F41" s="14">
        <v>4060</v>
      </c>
      <c r="G41" s="14">
        <v>0</v>
      </c>
      <c r="H41" s="18" t="s">
        <v>21</v>
      </c>
      <c r="I41" s="18" t="s">
        <v>22</v>
      </c>
      <c r="J41" s="15">
        <v>789.20176458831008</v>
      </c>
      <c r="K41" s="16" t="str">
        <f>IFERROR(IF(VLOOKUP(Tabela1626[[#This Row],[NF]],Tabela337[NF],1,FALSE),"CONSTA","NÃO CONSTA"),"NÃO CONSTA")</f>
        <v>NÃO CONSTA</v>
      </c>
    </row>
    <row r="42" spans="2:11" x14ac:dyDescent="0.3">
      <c r="B42" s="17" t="s">
        <v>23</v>
      </c>
      <c r="C42" s="18">
        <v>124</v>
      </c>
      <c r="D42" s="12">
        <v>1102</v>
      </c>
      <c r="E42" s="19">
        <v>37675</v>
      </c>
      <c r="F42" s="14">
        <v>4170</v>
      </c>
      <c r="G42" s="14">
        <v>0</v>
      </c>
      <c r="H42" s="18" t="s">
        <v>21</v>
      </c>
      <c r="I42" s="18" t="s">
        <v>22</v>
      </c>
      <c r="J42" s="15">
        <v>669.66585336670948</v>
      </c>
      <c r="K42" s="16" t="str">
        <f>IFERROR(IF(VLOOKUP(Tabela1626[[#This Row],[NF]],Tabela337[NF],1,FALSE),"CONSTA","NÃO CONSTA"),"NÃO CONSTA")</f>
        <v>NÃO CONSTA</v>
      </c>
    </row>
    <row r="43" spans="2:11" x14ac:dyDescent="0.3">
      <c r="B43" s="17" t="s">
        <v>23</v>
      </c>
      <c r="C43" s="11">
        <v>125</v>
      </c>
      <c r="D43" s="12">
        <v>1102</v>
      </c>
      <c r="E43" s="19">
        <v>37676</v>
      </c>
      <c r="F43" s="23">
        <v>4280</v>
      </c>
      <c r="G43" s="14">
        <v>0</v>
      </c>
      <c r="H43" s="18" t="s">
        <v>21</v>
      </c>
      <c r="I43" s="18" t="s">
        <v>22</v>
      </c>
      <c r="J43" s="15">
        <v>345.56262805494799</v>
      </c>
      <c r="K43" s="16" t="str">
        <f>IFERROR(IF(VLOOKUP(Tabela1626[[#This Row],[NF]],Tabela337[NF],1,FALSE),"CONSTA","NÃO CONSTA"),"NÃO CONSTA")</f>
        <v>NÃO CONSTA</v>
      </c>
    </row>
    <row r="44" spans="2:11" x14ac:dyDescent="0.3">
      <c r="B44" s="17" t="s">
        <v>23</v>
      </c>
      <c r="C44" s="18">
        <v>126</v>
      </c>
      <c r="D44" s="12">
        <v>1102</v>
      </c>
      <c r="E44" s="19">
        <v>37677</v>
      </c>
      <c r="F44" s="14">
        <v>4390</v>
      </c>
      <c r="G44" s="14">
        <v>0</v>
      </c>
      <c r="H44" s="18" t="s">
        <v>21</v>
      </c>
      <c r="I44" s="18" t="s">
        <v>22</v>
      </c>
      <c r="J44" s="15">
        <v>922.12490644783202</v>
      </c>
      <c r="K44" s="16" t="str">
        <f>IFERROR(IF(VLOOKUP(Tabela1626[[#This Row],[NF]],Tabela337[NF],1,FALSE),"CONSTA","NÃO CONSTA"),"NÃO CONSTA")</f>
        <v>NÃO CONSTA</v>
      </c>
    </row>
    <row r="45" spans="2:11" x14ac:dyDescent="0.3">
      <c r="B45" s="17" t="s">
        <v>23</v>
      </c>
      <c r="C45" s="11">
        <v>127</v>
      </c>
      <c r="D45" s="12">
        <v>1102</v>
      </c>
      <c r="E45" s="19">
        <v>37678</v>
      </c>
      <c r="F45" s="14">
        <v>4500</v>
      </c>
      <c r="G45" s="14">
        <v>0</v>
      </c>
      <c r="H45" s="18" t="s">
        <v>21</v>
      </c>
      <c r="I45" s="18" t="s">
        <v>22</v>
      </c>
      <c r="J45" s="15">
        <v>353.97592712989712</v>
      </c>
      <c r="K45" s="16" t="str">
        <f>IFERROR(IF(VLOOKUP(Tabela1626[[#This Row],[NF]],Tabela337[NF],1,FALSE),"CONSTA","NÃO CONSTA"),"NÃO CONSTA")</f>
        <v>NÃO CONSTA</v>
      </c>
    </row>
    <row r="46" spans="2:11" x14ac:dyDescent="0.3">
      <c r="B46" s="17" t="s">
        <v>23</v>
      </c>
      <c r="C46" s="18">
        <v>128</v>
      </c>
      <c r="D46" s="12">
        <v>1102</v>
      </c>
      <c r="E46" s="19">
        <v>37679</v>
      </c>
      <c r="F46" s="14">
        <v>4610</v>
      </c>
      <c r="G46" s="14">
        <v>0</v>
      </c>
      <c r="H46" s="18" t="s">
        <v>21</v>
      </c>
      <c r="I46" s="18" t="s">
        <v>22</v>
      </c>
      <c r="J46" s="15">
        <v>914.52511635586234</v>
      </c>
      <c r="K46" s="16" t="str">
        <f>IFERROR(IF(VLOOKUP(Tabela1626[[#This Row],[NF]],Tabela337[NF],1,FALSE),"CONSTA","NÃO CONSTA"),"NÃO CONSTA")</f>
        <v>NÃO CONSTA</v>
      </c>
    </row>
    <row r="47" spans="2:11" x14ac:dyDescent="0.3">
      <c r="B47" s="17" t="s">
        <v>23</v>
      </c>
      <c r="C47" s="11">
        <v>129</v>
      </c>
      <c r="D47" s="12">
        <v>1102</v>
      </c>
      <c r="E47" s="19">
        <v>37680</v>
      </c>
      <c r="F47" s="14">
        <v>4720</v>
      </c>
      <c r="G47" s="14">
        <v>0</v>
      </c>
      <c r="H47" s="18" t="s">
        <v>21</v>
      </c>
      <c r="I47" s="18" t="s">
        <v>22</v>
      </c>
      <c r="J47" s="15">
        <v>927.20413766981994</v>
      </c>
      <c r="K47" s="16" t="str">
        <f>IFERROR(IF(VLOOKUP(Tabela1626[[#This Row],[NF]],Tabela337[NF],1,FALSE),"CONSTA","NÃO CONSTA"),"NÃO CONSTA")</f>
        <v>NÃO CONSTA</v>
      </c>
    </row>
  </sheetData>
  <mergeCells count="12">
    <mergeCell ref="M15:R15"/>
    <mergeCell ref="B3:C3"/>
    <mergeCell ref="D3:K3"/>
    <mergeCell ref="M5:O5"/>
    <mergeCell ref="M6:O6"/>
    <mergeCell ref="M7:O7"/>
    <mergeCell ref="M8:O8"/>
    <mergeCell ref="M9:O9"/>
    <mergeCell ref="M10:O10"/>
    <mergeCell ref="M12:R12"/>
    <mergeCell ref="M13:R13"/>
    <mergeCell ref="M14:R14"/>
  </mergeCells>
  <conditionalFormatting sqref="B5:K47">
    <cfRule type="expression" dxfId="3" priority="1">
      <formula>$K5="CONSTA"</formula>
    </cfRule>
    <cfRule type="expression" dxfId="2" priority="2">
      <formula>$K5="NÃO CONSTA"</formula>
    </cfRule>
    <cfRule type="expression" dxfId="1" priority="3">
      <formula>$J5="CONSTA"</formula>
    </cfRule>
    <cfRule type="expression" dxfId="0" priority="4">
      <formula>$J5="NÃO CONSTA"</formula>
    </cfRule>
  </conditionalFormatting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9CABE-B5B6-4FC5-8B8F-A9ACF15A1051}">
  <dimension ref="B1:J37"/>
  <sheetViews>
    <sheetView showGridLines="0" workbookViewId="0"/>
  </sheetViews>
  <sheetFormatPr defaultRowHeight="14.4" x14ac:dyDescent="0.3"/>
  <cols>
    <col min="1" max="1" width="1.8984375" customWidth="1"/>
    <col min="2" max="2" width="10.296875" style="2" bestFit="1" customWidth="1"/>
    <col min="3" max="3" width="5.8984375" customWidth="1"/>
    <col min="4" max="4" width="20.09765625" customWidth="1"/>
    <col min="5" max="5" width="11" style="1" customWidth="1"/>
    <col min="6" max="6" width="13.19921875" style="2" customWidth="1"/>
  </cols>
  <sheetData>
    <row r="1" spans="2:10" ht="62.35" customHeight="1" x14ac:dyDescent="0.3"/>
    <row r="2" spans="2:10" ht="15" thickBot="1" x14ac:dyDescent="0.35"/>
    <row r="3" spans="2:10" ht="16.7" thickBot="1" x14ac:dyDescent="0.4">
      <c r="B3" s="60" t="s">
        <v>38</v>
      </c>
      <c r="C3" s="61"/>
      <c r="D3" s="61"/>
      <c r="E3" s="61"/>
      <c r="F3" s="62"/>
    </row>
    <row r="4" spans="2:10" ht="15" thickBot="1" x14ac:dyDescent="0.35">
      <c r="B4" s="3" t="s">
        <v>0</v>
      </c>
      <c r="C4" s="4" t="s">
        <v>1</v>
      </c>
      <c r="D4" s="4" t="s">
        <v>2</v>
      </c>
      <c r="E4" s="5" t="s">
        <v>3</v>
      </c>
      <c r="F4" s="3" t="s">
        <v>4</v>
      </c>
      <c r="H4" s="41" t="s">
        <v>31</v>
      </c>
      <c r="I4" s="42"/>
      <c r="J4" s="43"/>
    </row>
    <row r="5" spans="2:10" x14ac:dyDescent="0.3">
      <c r="B5" s="2">
        <v>37654</v>
      </c>
      <c r="C5">
        <v>87</v>
      </c>
      <c r="D5" t="s">
        <v>5</v>
      </c>
      <c r="E5" s="1">
        <v>77.325512237667496</v>
      </c>
      <c r="F5" s="2">
        <v>37653</v>
      </c>
      <c r="H5" s="51" t="s">
        <v>26</v>
      </c>
      <c r="I5" s="52"/>
      <c r="J5" s="53"/>
    </row>
    <row r="6" spans="2:10" x14ac:dyDescent="0.3">
      <c r="B6" s="2">
        <v>37654</v>
      </c>
      <c r="C6">
        <v>88</v>
      </c>
      <c r="D6" t="s">
        <v>6</v>
      </c>
      <c r="E6" s="1">
        <v>558.9834007805166</v>
      </c>
      <c r="F6" s="2">
        <v>37653</v>
      </c>
      <c r="H6" s="54" t="s">
        <v>27</v>
      </c>
      <c r="I6" s="55"/>
      <c r="J6" s="56"/>
    </row>
    <row r="7" spans="2:10" x14ac:dyDescent="0.3">
      <c r="B7" s="2">
        <v>37655</v>
      </c>
      <c r="C7">
        <v>89</v>
      </c>
      <c r="D7" t="s">
        <v>7</v>
      </c>
      <c r="E7" s="1">
        <v>45.697140015329538</v>
      </c>
      <c r="F7" s="2">
        <v>37654</v>
      </c>
      <c r="H7" s="57" t="s">
        <v>28</v>
      </c>
      <c r="I7" s="58"/>
      <c r="J7" s="59"/>
    </row>
    <row r="8" spans="2:10" x14ac:dyDescent="0.3">
      <c r="B8" s="2">
        <v>37655</v>
      </c>
      <c r="C8">
        <v>90</v>
      </c>
      <c r="D8" t="s">
        <v>8</v>
      </c>
      <c r="E8" s="1">
        <v>846.71813572602571</v>
      </c>
      <c r="F8" s="2">
        <v>37654</v>
      </c>
      <c r="H8" s="54" t="s">
        <v>30</v>
      </c>
      <c r="I8" s="55"/>
      <c r="J8" s="56"/>
    </row>
    <row r="9" spans="2:10" ht="15" thickBot="1" x14ac:dyDescent="0.35">
      <c r="B9" s="2">
        <v>37655</v>
      </c>
      <c r="C9">
        <v>91</v>
      </c>
      <c r="D9" t="s">
        <v>9</v>
      </c>
      <c r="E9" s="1">
        <v>862.56127044972379</v>
      </c>
      <c r="F9" s="2">
        <v>37654</v>
      </c>
      <c r="H9" s="38" t="s">
        <v>29</v>
      </c>
      <c r="I9" s="39"/>
      <c r="J9" s="40"/>
    </row>
    <row r="10" spans="2:10" x14ac:dyDescent="0.3">
      <c r="B10" s="2">
        <v>37656</v>
      </c>
      <c r="C10">
        <v>92</v>
      </c>
      <c r="D10" t="s">
        <v>10</v>
      </c>
      <c r="E10" s="1">
        <v>474.85422583623904</v>
      </c>
      <c r="F10" s="2">
        <v>37655</v>
      </c>
    </row>
    <row r="11" spans="2:10" x14ac:dyDescent="0.3">
      <c r="B11" s="2">
        <v>37656</v>
      </c>
      <c r="C11">
        <v>93</v>
      </c>
      <c r="D11" t="s">
        <v>11</v>
      </c>
      <c r="E11" s="1">
        <v>399.90247937410606</v>
      </c>
      <c r="F11" s="2">
        <v>37655</v>
      </c>
    </row>
    <row r="12" spans="2:10" x14ac:dyDescent="0.3">
      <c r="B12" s="2">
        <v>37656</v>
      </c>
      <c r="C12">
        <v>94</v>
      </c>
      <c r="D12" t="s">
        <v>5</v>
      </c>
      <c r="E12" s="1">
        <v>819.83823198664265</v>
      </c>
      <c r="F12" s="2">
        <v>37655</v>
      </c>
    </row>
    <row r="13" spans="2:10" x14ac:dyDescent="0.3">
      <c r="B13" s="2">
        <v>37656</v>
      </c>
      <c r="C13">
        <v>95</v>
      </c>
      <c r="D13" t="s">
        <v>6</v>
      </c>
      <c r="E13" s="1">
        <v>718.6692651855949</v>
      </c>
      <c r="F13" s="2">
        <v>37655</v>
      </c>
    </row>
    <row r="14" spans="2:10" x14ac:dyDescent="0.3">
      <c r="B14" s="2">
        <v>37657</v>
      </c>
      <c r="C14">
        <v>96</v>
      </c>
      <c r="D14" t="s">
        <v>7</v>
      </c>
      <c r="E14" s="1">
        <v>372.85118081181992</v>
      </c>
      <c r="F14" s="2">
        <v>37656</v>
      </c>
    </row>
    <row r="15" spans="2:10" x14ac:dyDescent="0.3">
      <c r="B15" s="2">
        <v>37658</v>
      </c>
      <c r="C15">
        <v>97</v>
      </c>
      <c r="D15" t="s">
        <v>8</v>
      </c>
      <c r="E15" s="1">
        <v>211.74067065220837</v>
      </c>
      <c r="F15" s="2">
        <v>37657</v>
      </c>
    </row>
    <row r="16" spans="2:10" x14ac:dyDescent="0.3">
      <c r="B16" s="2">
        <v>37659</v>
      </c>
      <c r="C16">
        <v>98</v>
      </c>
      <c r="D16" t="s">
        <v>9</v>
      </c>
      <c r="E16" s="1">
        <v>825.43874532370876</v>
      </c>
      <c r="F16" s="2">
        <v>37658</v>
      </c>
    </row>
    <row r="17" spans="2:6" x14ac:dyDescent="0.3">
      <c r="B17" s="2">
        <v>37660</v>
      </c>
      <c r="C17">
        <v>99</v>
      </c>
      <c r="D17" t="s">
        <v>10</v>
      </c>
      <c r="E17" s="1">
        <v>180.59395143522337</v>
      </c>
      <c r="F17" s="2">
        <v>37659</v>
      </c>
    </row>
    <row r="18" spans="2:6" x14ac:dyDescent="0.3">
      <c r="B18" s="2">
        <v>37661</v>
      </c>
      <c r="C18">
        <v>100</v>
      </c>
      <c r="D18" t="s">
        <v>11</v>
      </c>
      <c r="E18" s="1">
        <v>782.29688772186523</v>
      </c>
      <c r="F18" s="2">
        <v>37660</v>
      </c>
    </row>
    <row r="19" spans="2:6" x14ac:dyDescent="0.3">
      <c r="B19" s="2">
        <v>37662</v>
      </c>
      <c r="C19">
        <v>101</v>
      </c>
      <c r="D19" t="s">
        <v>5</v>
      </c>
      <c r="E19" s="1">
        <v>761.96845576099724</v>
      </c>
      <c r="F19" s="2">
        <v>37661</v>
      </c>
    </row>
    <row r="20" spans="2:6" x14ac:dyDescent="0.3">
      <c r="B20" s="2">
        <v>37663</v>
      </c>
      <c r="C20">
        <v>102</v>
      </c>
      <c r="D20" t="s">
        <v>6</v>
      </c>
      <c r="E20" s="1">
        <v>944.30816543654691</v>
      </c>
      <c r="F20" s="2">
        <v>37662</v>
      </c>
    </row>
    <row r="21" spans="2:6" x14ac:dyDescent="0.3">
      <c r="B21" s="2">
        <v>37664</v>
      </c>
      <c r="C21">
        <v>103</v>
      </c>
      <c r="D21" t="s">
        <v>7</v>
      </c>
      <c r="E21" s="1">
        <v>114.12841095165682</v>
      </c>
      <c r="F21" s="2">
        <v>37663</v>
      </c>
    </row>
    <row r="22" spans="2:6" x14ac:dyDescent="0.3">
      <c r="B22" s="2">
        <v>37665</v>
      </c>
      <c r="C22">
        <v>104</v>
      </c>
      <c r="D22" t="s">
        <v>8</v>
      </c>
      <c r="E22" s="1">
        <v>846.56158080849423</v>
      </c>
      <c r="F22" s="2">
        <v>37664</v>
      </c>
    </row>
    <row r="23" spans="2:6" x14ac:dyDescent="0.3">
      <c r="B23" s="2">
        <v>37666</v>
      </c>
      <c r="C23">
        <v>105</v>
      </c>
      <c r="D23" t="s">
        <v>9</v>
      </c>
      <c r="E23" s="1">
        <v>692.07118747581296</v>
      </c>
      <c r="F23" s="2">
        <v>37665</v>
      </c>
    </row>
    <row r="24" spans="2:6" x14ac:dyDescent="0.3">
      <c r="B24" s="2">
        <v>37667</v>
      </c>
      <c r="C24">
        <v>106</v>
      </c>
      <c r="D24" t="s">
        <v>10</v>
      </c>
      <c r="E24" s="1">
        <v>854.15471876055619</v>
      </c>
      <c r="F24" s="2">
        <v>37666</v>
      </c>
    </row>
    <row r="25" spans="2:6" x14ac:dyDescent="0.3">
      <c r="B25" s="2">
        <v>37668</v>
      </c>
      <c r="C25">
        <v>107</v>
      </c>
      <c r="D25" t="s">
        <v>11</v>
      </c>
      <c r="E25" s="1">
        <v>502.04029567273278</v>
      </c>
      <c r="F25" s="2">
        <v>37667</v>
      </c>
    </row>
    <row r="26" spans="2:6" x14ac:dyDescent="0.3">
      <c r="B26" s="2">
        <v>37669</v>
      </c>
      <c r="C26">
        <v>108</v>
      </c>
      <c r="D26" t="s">
        <v>5</v>
      </c>
      <c r="E26" s="1">
        <v>979.70566583952495</v>
      </c>
      <c r="F26" s="2">
        <v>37668</v>
      </c>
    </row>
    <row r="27" spans="2:6" x14ac:dyDescent="0.3">
      <c r="B27" s="2">
        <v>37670</v>
      </c>
      <c r="C27">
        <v>109</v>
      </c>
      <c r="D27" t="s">
        <v>6</v>
      </c>
      <c r="E27" s="1">
        <v>817.95415522729866</v>
      </c>
      <c r="F27" s="2">
        <v>37669</v>
      </c>
    </row>
    <row r="28" spans="2:6" x14ac:dyDescent="0.3">
      <c r="B28" s="2">
        <v>37671</v>
      </c>
      <c r="C28">
        <v>110</v>
      </c>
      <c r="D28" t="s">
        <v>7</v>
      </c>
      <c r="E28" s="1">
        <v>596.45292976902465</v>
      </c>
      <c r="F28" s="2">
        <v>37670</v>
      </c>
    </row>
    <row r="29" spans="2:6" x14ac:dyDescent="0.3">
      <c r="B29" s="2">
        <v>37672</v>
      </c>
      <c r="C29">
        <v>111</v>
      </c>
      <c r="D29" t="s">
        <v>8</v>
      </c>
      <c r="E29" s="1">
        <v>379.71939939640862</v>
      </c>
      <c r="F29" s="2">
        <v>37671</v>
      </c>
    </row>
    <row r="30" spans="2:6" x14ac:dyDescent="0.3">
      <c r="B30" s="2">
        <v>37673</v>
      </c>
      <c r="C30">
        <v>112</v>
      </c>
      <c r="D30" t="s">
        <v>9</v>
      </c>
      <c r="E30" s="1">
        <v>154.61966646685443</v>
      </c>
      <c r="F30" s="2">
        <v>37672</v>
      </c>
    </row>
    <row r="31" spans="2:6" x14ac:dyDescent="0.3">
      <c r="B31" s="2">
        <v>37674</v>
      </c>
      <c r="C31">
        <v>113</v>
      </c>
      <c r="D31" t="s">
        <v>10</v>
      </c>
      <c r="E31" s="1">
        <v>786.13705575017229</v>
      </c>
      <c r="F31" s="2">
        <v>37673</v>
      </c>
    </row>
    <row r="32" spans="2:6" x14ac:dyDescent="0.3">
      <c r="B32" s="2">
        <v>37675</v>
      </c>
      <c r="C32">
        <v>114</v>
      </c>
      <c r="D32" t="s">
        <v>11</v>
      </c>
      <c r="E32" s="1">
        <v>689.81996388546054</v>
      </c>
      <c r="F32" s="2">
        <v>37674</v>
      </c>
    </row>
    <row r="33" spans="2:6" x14ac:dyDescent="0.3">
      <c r="B33" s="2">
        <v>37676</v>
      </c>
      <c r="C33">
        <v>115</v>
      </c>
      <c r="D33" t="s">
        <v>5</v>
      </c>
      <c r="E33" s="1">
        <v>0.17918615618306433</v>
      </c>
      <c r="F33" s="2">
        <v>37675</v>
      </c>
    </row>
    <row r="34" spans="2:6" x14ac:dyDescent="0.3">
      <c r="B34" s="2">
        <v>37677</v>
      </c>
      <c r="C34">
        <v>116</v>
      </c>
      <c r="D34" t="s">
        <v>6</v>
      </c>
      <c r="E34" s="1">
        <v>566.37989088126051</v>
      </c>
      <c r="F34" s="2">
        <v>37676</v>
      </c>
    </row>
    <row r="35" spans="2:6" x14ac:dyDescent="0.3">
      <c r="B35" s="2">
        <v>37678</v>
      </c>
      <c r="C35">
        <v>117</v>
      </c>
      <c r="D35" t="s">
        <v>7</v>
      </c>
      <c r="E35" s="1">
        <v>146.15355894496139</v>
      </c>
      <c r="F35" s="2">
        <v>37677</v>
      </c>
    </row>
    <row r="36" spans="2:6" x14ac:dyDescent="0.3">
      <c r="B36" s="2">
        <v>37679</v>
      </c>
      <c r="C36">
        <v>118</v>
      </c>
      <c r="D36" t="s">
        <v>8</v>
      </c>
      <c r="E36" s="1">
        <v>525.0459047866683</v>
      </c>
      <c r="F36" s="2">
        <v>37678</v>
      </c>
    </row>
    <row r="37" spans="2:6" x14ac:dyDescent="0.3">
      <c r="B37" s="2">
        <v>37680</v>
      </c>
      <c r="C37">
        <v>119</v>
      </c>
      <c r="D37" t="s">
        <v>9</v>
      </c>
      <c r="E37" s="1">
        <v>612.49823443021751</v>
      </c>
      <c r="F37" s="2">
        <v>37679</v>
      </c>
    </row>
  </sheetData>
  <mergeCells count="7">
    <mergeCell ref="H9:J9"/>
    <mergeCell ref="B3:F3"/>
    <mergeCell ref="H4:J4"/>
    <mergeCell ref="H5:J5"/>
    <mergeCell ref="H6:J6"/>
    <mergeCell ref="H7:J7"/>
    <mergeCell ref="H8:J8"/>
  </mergeCell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HOME</vt:lpstr>
      <vt:lpstr>un1</vt:lpstr>
      <vt:lpstr>sis-un1</vt:lpstr>
      <vt:lpstr>un2</vt:lpstr>
      <vt:lpstr>sis-un2</vt:lpstr>
      <vt:lpstr>un3</vt:lpstr>
      <vt:lpstr>sis-un3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Júnior</dc:creator>
  <cp:lastModifiedBy>André Júnior</cp:lastModifiedBy>
  <dcterms:created xsi:type="dcterms:W3CDTF">2023-02-20T00:15:10Z</dcterms:created>
  <dcterms:modified xsi:type="dcterms:W3CDTF">2023-02-21T23:20:32Z</dcterms:modified>
</cp:coreProperties>
</file>