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activeTab="3"/>
  </bookViews>
  <sheets>
    <sheet name="Ventas" sheetId="2" r:id="rId1"/>
    <sheet name="Clientes" sheetId="3" r:id="rId2"/>
    <sheet name="Almacen" sheetId="4" r:id="rId3"/>
    <sheet name="articulos" sheetId="5" r:id="rId4"/>
    <sheet name="Planilla" sheetId="6" r:id="rId5"/>
    <sheet name="Herramientas" sheetId="7" r:id="rId6"/>
    <sheet name="Cuentas por pagar" sheetId="8" r:id="rId7"/>
    <sheet name="Efectivo" sheetId="9" r:id="rId8"/>
  </sheets>
  <definedNames>
    <definedName name="_xlnm._FilterDatabase" localSheetId="2" hidden="1">Almacen!$A$1:$I$13</definedName>
    <definedName name="_xlnm._FilterDatabase" localSheetId="3" hidden="1">articulos!$A$1:$L$111</definedName>
    <definedName name="_xlnm._FilterDatabase" localSheetId="5" hidden="1">Herramientas!$A$1:$L$39</definedName>
    <definedName name="Z_5EB91EB7_3784_4978_8079_185A4BEF48EE_.wvu.FilterData" localSheetId="3" hidden="1">articulos!$A$1:$L$93</definedName>
  </definedNames>
  <calcPr calcId="144525"/>
  <customWorkbookViews>
    <customWorkbookView name="En uso" guid="{5EB91EB7-3784-4978-8079-185A4BEF48EE}" maximized="true" windowWidth="0" windowHeight="0" activeSheetId="0"/>
  </customWorkbookViews>
</workbook>
</file>

<file path=xl/sharedStrings.xml><?xml version="1.0" encoding="utf-8"?>
<sst xmlns="http://schemas.openxmlformats.org/spreadsheetml/2006/main" count="1136" uniqueCount="334">
  <si>
    <t>idfac</t>
  </si>
  <si>
    <t>año</t>
  </si>
  <si>
    <t>mes</t>
  </si>
  <si>
    <t>dia</t>
  </si>
  <si>
    <t>fecha</t>
  </si>
  <si>
    <t>ced</t>
  </si>
  <si>
    <t>cliente</t>
  </si>
  <si>
    <t>correo</t>
  </si>
  <si>
    <t>tipo</t>
  </si>
  <si>
    <t>cantidad</t>
  </si>
  <si>
    <t>coda</t>
  </si>
  <si>
    <t>descripcion</t>
  </si>
  <si>
    <t>precio total</t>
  </si>
  <si>
    <t>contado</t>
  </si>
  <si>
    <t>telefono</t>
  </si>
  <si>
    <t>instagram</t>
  </si>
  <si>
    <t>facebook</t>
  </si>
  <si>
    <t>Sebastian Mena</t>
  </si>
  <si>
    <t>sebasmenago@gmail.com</t>
  </si>
  <si>
    <t>sebas.menago</t>
  </si>
  <si>
    <t>Andrea Arriaga</t>
  </si>
  <si>
    <t>arriagamadrigal@gmail.com</t>
  </si>
  <si>
    <t>aarriagam</t>
  </si>
  <si>
    <t>Fresia Villalobos</t>
  </si>
  <si>
    <t>Bedrich</t>
  </si>
  <si>
    <t>Adrian Arriaga</t>
  </si>
  <si>
    <t>Juan Arriaga</t>
  </si>
  <si>
    <t>Frida Madrigal</t>
  </si>
  <si>
    <t>Xinia González</t>
  </si>
  <si>
    <t>Rocío González</t>
  </si>
  <si>
    <t>Ovidio Monge</t>
  </si>
  <si>
    <t>Thais González</t>
  </si>
  <si>
    <t>Carmen Madrigal</t>
  </si>
  <si>
    <t>articulo</t>
  </si>
  <si>
    <t>precio_u</t>
  </si>
  <si>
    <t>Desodorante</t>
  </si>
  <si>
    <t>Jabon</t>
  </si>
  <si>
    <t>Naranja</t>
  </si>
  <si>
    <t>Lavanda</t>
  </si>
  <si>
    <t>Canela</t>
  </si>
  <si>
    <t>Menta</t>
  </si>
  <si>
    <t>Neem</t>
  </si>
  <si>
    <t>jabon</t>
  </si>
  <si>
    <t>envase</t>
  </si>
  <si>
    <t>5 mL silicon</t>
  </si>
  <si>
    <t>1 mL vidrio</t>
  </si>
  <si>
    <t>cepillos</t>
  </si>
  <si>
    <t>Bambú en cartón</t>
  </si>
  <si>
    <t>categoria</t>
  </si>
  <si>
    <t>clase</t>
  </si>
  <si>
    <t>unidad</t>
  </si>
  <si>
    <t>precio</t>
  </si>
  <si>
    <t>vence</t>
  </si>
  <si>
    <t>almacen</t>
  </si>
  <si>
    <t>fecha de compra</t>
  </si>
  <si>
    <t>estado</t>
  </si>
  <si>
    <t>ingrediente</t>
  </si>
  <si>
    <t>Vegetal</t>
  </si>
  <si>
    <t>aceite_de_aguacate</t>
  </si>
  <si>
    <t>Donado por Tía Carmen</t>
  </si>
  <si>
    <t>mL</t>
  </si>
  <si>
    <t>Pricesmart</t>
  </si>
  <si>
    <t>empezado</t>
  </si>
  <si>
    <t>aceite_de_coco</t>
  </si>
  <si>
    <t>Lou Ana, 100%puro, USA</t>
  </si>
  <si>
    <t>Mxm</t>
  </si>
  <si>
    <t>agotado</t>
  </si>
  <si>
    <t>Walmart</t>
  </si>
  <si>
    <t>disponible</t>
  </si>
  <si>
    <t>vegetal</t>
  </si>
  <si>
    <t>Rote</t>
  </si>
  <si>
    <t>aceite_de_manzanilla</t>
  </si>
  <si>
    <t>Eva natur, 100 % vegetal</t>
  </si>
  <si>
    <t>Biosalud</t>
  </si>
  <si>
    <t>aceite_de_oliva</t>
  </si>
  <si>
    <t>Zade, puro, Turquía</t>
  </si>
  <si>
    <t>Pequeño</t>
  </si>
  <si>
    <t>Mueloliva, extra virgen</t>
  </si>
  <si>
    <t>extra virgen</t>
  </si>
  <si>
    <t>aceite_de_pepita_de_uva</t>
  </si>
  <si>
    <t>Mueloliva, 100% pepita de uva refinado</t>
  </si>
  <si>
    <t>Orgánico</t>
  </si>
  <si>
    <t>acido_citrico</t>
  </si>
  <si>
    <t>NA</t>
  </si>
  <si>
    <t>g</t>
  </si>
  <si>
    <t>S&amp;R</t>
  </si>
  <si>
    <t>aciete_de_oliva</t>
  </si>
  <si>
    <t>aciete_escencial_de_menta</t>
  </si>
  <si>
    <t>ae_arbol_de_te</t>
  </si>
  <si>
    <t>origen Australia</t>
  </si>
  <si>
    <t>ae_bergamota</t>
  </si>
  <si>
    <t>Glu</t>
  </si>
  <si>
    <t>ae_canela</t>
  </si>
  <si>
    <t>ae_clavo</t>
  </si>
  <si>
    <t>ae_lavanda</t>
  </si>
  <si>
    <t>ver ficha técnica</t>
  </si>
  <si>
    <t>ae_menta</t>
  </si>
  <si>
    <t>Origen Orotina</t>
  </si>
  <si>
    <t>ae_menta_piperita</t>
  </si>
  <si>
    <t>ae_naranja_dulce</t>
  </si>
  <si>
    <t>ae_romero</t>
  </si>
  <si>
    <t>ae_toronja</t>
  </si>
  <si>
    <t>ae_zacate_limon</t>
  </si>
  <si>
    <t>Agua</t>
  </si>
  <si>
    <t>agua_destilada</t>
  </si>
  <si>
    <t>produccion</t>
  </si>
  <si>
    <t>Alcohol</t>
  </si>
  <si>
    <t>alcohol</t>
  </si>
  <si>
    <t>96°</t>
  </si>
  <si>
    <t>ml</t>
  </si>
  <si>
    <t>La Bomba</t>
  </si>
  <si>
    <t>Mineral</t>
  </si>
  <si>
    <t>arcilla_kaolin</t>
  </si>
  <si>
    <t>colorante</t>
  </si>
  <si>
    <t>Arcilla</t>
  </si>
  <si>
    <t>arcilla_lila</t>
  </si>
  <si>
    <t>c. lila</t>
  </si>
  <si>
    <t>avena_molida</t>
  </si>
  <si>
    <t>Jinca foods</t>
  </si>
  <si>
    <t>bicarbonato_de_sodio</t>
  </si>
  <si>
    <t>USP</t>
  </si>
  <si>
    <t>Univ. Alim.</t>
  </si>
  <si>
    <t>empaque</t>
  </si>
  <si>
    <t>Venta</t>
  </si>
  <si>
    <t>botellita_con_gotero</t>
  </si>
  <si>
    <t>30 mL, ambar</t>
  </si>
  <si>
    <t>u</t>
  </si>
  <si>
    <t>Distribudora Caribe</t>
  </si>
  <si>
    <t>cascaras_de_naranja</t>
  </si>
  <si>
    <t>tostadas al sol</t>
  </si>
  <si>
    <t>ND</t>
  </si>
  <si>
    <t>Casa del sol</t>
  </si>
  <si>
    <t>ventas</t>
  </si>
  <si>
    <t>cepillo</t>
  </si>
  <si>
    <t>bambu y plastico. Importado China</t>
  </si>
  <si>
    <t>Wish</t>
  </si>
  <si>
    <t>cera_de_abejas</t>
  </si>
  <si>
    <t>Animal</t>
  </si>
  <si>
    <t>en tabletas</t>
  </si>
  <si>
    <t>cera_de_carnauba</t>
  </si>
  <si>
    <t>Hojuelas</t>
  </si>
  <si>
    <t>venta</t>
  </si>
  <si>
    <t>cinta_adhesiva</t>
  </si>
  <si>
    <t>cristal con dsipensador</t>
  </si>
  <si>
    <t>m</t>
  </si>
  <si>
    <t>Recipientes</t>
  </si>
  <si>
    <t>cremera</t>
  </si>
  <si>
    <t>vidrio con tapa dorada</t>
  </si>
  <si>
    <t>Negocios tropicales</t>
  </si>
  <si>
    <t>recipientes</t>
  </si>
  <si>
    <t>Sujetador</t>
  </si>
  <si>
    <t>cuerda</t>
  </si>
  <si>
    <t>Trenza doble, c. natural</t>
  </si>
  <si>
    <t>cm</t>
  </si>
  <si>
    <t>Metrokilos</t>
  </si>
  <si>
    <t>curcuma_en_polvo</t>
  </si>
  <si>
    <t>secadas al sol</t>
  </si>
  <si>
    <t>envase_</t>
  </si>
  <si>
    <t>30 mL con tapa</t>
  </si>
  <si>
    <t>5 mL Silicon. Importado China</t>
  </si>
  <si>
    <t>1 mL Vidrio con dispensador y tapa. Importado China</t>
  </si>
  <si>
    <t>herramienta</t>
  </si>
  <si>
    <t>preparación</t>
  </si>
  <si>
    <t>espatula_plana</t>
  </si>
  <si>
    <t>25 cm</t>
  </si>
  <si>
    <t>Diprolab</t>
  </si>
  <si>
    <t>etiqueta</t>
  </si>
  <si>
    <t>Info sobre jabones</t>
  </si>
  <si>
    <t>Millenium</t>
  </si>
  <si>
    <t>fecula_de_maiz</t>
  </si>
  <si>
    <t>maizena vit, A,B1,B3, B6, B12, C, fe, Zn, Ac. fol.</t>
  </si>
  <si>
    <t>UNICASA</t>
  </si>
  <si>
    <t>maicena pastelera real</t>
  </si>
  <si>
    <t>Maicena pastelera real</t>
  </si>
  <si>
    <t>Preparación</t>
  </si>
  <si>
    <t>guantes</t>
  </si>
  <si>
    <t>Vinilo</t>
  </si>
  <si>
    <t>Pricemart</t>
  </si>
  <si>
    <t>Saponificante</t>
  </si>
  <si>
    <t>hidroxido_de_sodio</t>
  </si>
  <si>
    <t>99% pura</t>
  </si>
  <si>
    <t>hilo</t>
  </si>
  <si>
    <t>hemp</t>
  </si>
  <si>
    <t>Molde</t>
  </si>
  <si>
    <t>lija</t>
  </si>
  <si>
    <t>ferretaria el punto</t>
  </si>
  <si>
    <t>Manteca</t>
  </si>
  <si>
    <t>manteca_de_karite</t>
  </si>
  <si>
    <t>organica, refinada</t>
  </si>
  <si>
    <t>Refinada</t>
  </si>
  <si>
    <t>Organica refinada</t>
  </si>
  <si>
    <t>seguridad</t>
  </si>
  <si>
    <t>mascarillas</t>
  </si>
  <si>
    <t>Chinas</t>
  </si>
  <si>
    <t>Importadora Chiva</t>
  </si>
  <si>
    <t>neem</t>
  </si>
  <si>
    <t>hojas deshidratadas</t>
  </si>
  <si>
    <t>oxido_de_zinc</t>
  </si>
  <si>
    <t>papel_encerado</t>
  </si>
  <si>
    <t>Polipak, grado alimenticio, grosor 30 cm</t>
  </si>
  <si>
    <t>papel_indicadro_ph</t>
  </si>
  <si>
    <t>0-14</t>
  </si>
  <si>
    <t>polvo_de_lavanda</t>
  </si>
  <si>
    <t>Importado</t>
  </si>
  <si>
    <t>polvo_de_remolacha</t>
  </si>
  <si>
    <t>exfoliante</t>
  </si>
  <si>
    <t>Sal</t>
  </si>
  <si>
    <t>sal_himalaya</t>
  </si>
  <si>
    <t>Grano medio, c. rosada</t>
  </si>
  <si>
    <t>Ingredientes</t>
  </si>
  <si>
    <t>gruesa</t>
  </si>
  <si>
    <t>Semilla</t>
  </si>
  <si>
    <t>semillas_de_amapola</t>
  </si>
  <si>
    <t>c. gris</t>
  </si>
  <si>
    <t>tela</t>
  </si>
  <si>
    <t>manta crema</t>
  </si>
  <si>
    <t>armi morado</t>
  </si>
  <si>
    <t>armi con barras blancas</t>
  </si>
  <si>
    <t>toallas</t>
  </si>
  <si>
    <t>de papel</t>
  </si>
  <si>
    <t>rollo</t>
  </si>
  <si>
    <t>Unicasa</t>
  </si>
  <si>
    <t>tubos_de_carton</t>
  </si>
  <si>
    <t>vitamina_e</t>
  </si>
  <si>
    <t>Envolt. ext.</t>
  </si>
  <si>
    <t>yute</t>
  </si>
  <si>
    <t>Verde</t>
  </si>
  <si>
    <t>cm2</t>
  </si>
  <si>
    <t>Maegatelas</t>
  </si>
  <si>
    <t>Almacenamiento</t>
  </si>
  <si>
    <t>ziploc</t>
  </si>
  <si>
    <t>26,8*27,3 cm</t>
  </si>
  <si>
    <t>Automercado</t>
  </si>
  <si>
    <t># ojo agregue esto provisionalmente para hacer la prueba de los calculos. es falso</t>
  </si>
  <si>
    <t>maica_aquamarine</t>
  </si>
  <si>
    <t>colorante mineral celeste-turquesa</t>
  </si>
  <si>
    <t>Cuenta</t>
  </si>
  <si>
    <t>horas</t>
  </si>
  <si>
    <t>Andrea</t>
  </si>
  <si>
    <t>Sebas</t>
  </si>
  <si>
    <t>Cod</t>
  </si>
  <si>
    <t>Categoría</t>
  </si>
  <si>
    <t>Clase</t>
  </si>
  <si>
    <t>Artículo</t>
  </si>
  <si>
    <t>Descripción</t>
  </si>
  <si>
    <t>Cantidad</t>
  </si>
  <si>
    <t>Unidad</t>
  </si>
  <si>
    <t>Precio</t>
  </si>
  <si>
    <t>Precio/u</t>
  </si>
  <si>
    <t>Almacen</t>
  </si>
  <si>
    <t>Fecha de compra</t>
  </si>
  <si>
    <t>Estado</t>
  </si>
  <si>
    <t>Produccion</t>
  </si>
  <si>
    <t>Balanza Norpro</t>
  </si>
  <si>
    <t>Digital, 5 kg, mod.8634</t>
  </si>
  <si>
    <t>Tips</t>
  </si>
  <si>
    <t>Disponible</t>
  </si>
  <si>
    <t>Herramientas</t>
  </si>
  <si>
    <t>Cuchara</t>
  </si>
  <si>
    <t>madera 16''</t>
  </si>
  <si>
    <t>Espátula</t>
  </si>
  <si>
    <t>Plástico</t>
  </si>
  <si>
    <t xml:space="preserve">Molde </t>
  </si>
  <si>
    <t>Silicon oval 25mL*16u.</t>
  </si>
  <si>
    <t>Olla baño maría</t>
  </si>
  <si>
    <t>acero inox 4.25 Qts</t>
  </si>
  <si>
    <t>Taza de medida</t>
  </si>
  <si>
    <t>policarbonato, 2L, 0.1L</t>
  </si>
  <si>
    <t>Materias primas y ventas</t>
  </si>
  <si>
    <t>3 Recipientes plasticos</t>
  </si>
  <si>
    <t>2750, 1200, 375 mL</t>
  </si>
  <si>
    <t>Agitador</t>
  </si>
  <si>
    <t>Policia de vidrio</t>
  </si>
  <si>
    <t>Agotado</t>
  </si>
  <si>
    <t>Canasta plastica</t>
  </si>
  <si>
    <t>Para dejar jabones en sap., c. naranja y rosado</t>
  </si>
  <si>
    <t>Aceites esenciales</t>
  </si>
  <si>
    <t>Gotero</t>
  </si>
  <si>
    <t>Goteros para aceites escenciales</t>
  </si>
  <si>
    <t>Termometro</t>
  </si>
  <si>
    <t>Alcohol, -20 -&gt;150 °C</t>
  </si>
  <si>
    <t>Beaker vidrio</t>
  </si>
  <si>
    <t>100 mL</t>
  </si>
  <si>
    <t>espatula acanalada</t>
  </si>
  <si>
    <t>Laboratorio</t>
  </si>
  <si>
    <t>Análisis</t>
  </si>
  <si>
    <t>Hisopo pequeño</t>
  </si>
  <si>
    <t>Petri vidrio</t>
  </si>
  <si>
    <t>100x15 mm</t>
  </si>
  <si>
    <t>Probeta vidrio</t>
  </si>
  <si>
    <t>10 mL</t>
  </si>
  <si>
    <t>Recipiente</t>
  </si>
  <si>
    <t>Hermetico vidrio con tapa celeste. 0,75 L</t>
  </si>
  <si>
    <t>Hermetico vidrio con tapa transparente 1,3 L</t>
  </si>
  <si>
    <t>gotero</t>
  </si>
  <si>
    <t>vidrio con rosca</t>
  </si>
  <si>
    <t>cuchara de medida</t>
  </si>
  <si>
    <t>acero inox, 4 medidas</t>
  </si>
  <si>
    <t>materiales para molde</t>
  </si>
  <si>
    <t>bisagras, tornillos y tuercas mariposa</t>
  </si>
  <si>
    <t>El mazzaso</t>
  </si>
  <si>
    <t>Alcohol, -10 -&gt;110 °C</t>
  </si>
  <si>
    <t>Bandeja</t>
  </si>
  <si>
    <t>42*31*5 metal, para hornear</t>
  </si>
  <si>
    <t>Cortador</t>
  </si>
  <si>
    <t>de verdura, corrugado</t>
  </si>
  <si>
    <t>Fondan, forma de hoja</t>
  </si>
  <si>
    <t>silicón, forma de pirámide 6 x 90 mL</t>
  </si>
  <si>
    <t>Pinza</t>
  </si>
  <si>
    <t>acero inox, 9"</t>
  </si>
  <si>
    <t>de vidrio con tapa hermetica, 0.5 L</t>
  </si>
  <si>
    <t>Frasco</t>
  </si>
  <si>
    <t>de vidrio con tapa, 2 L</t>
  </si>
  <si>
    <t>silicon, forma oval 50 mL</t>
  </si>
  <si>
    <t>Hermetico de tapa verde</t>
  </si>
  <si>
    <t>L</t>
  </si>
  <si>
    <t>MasXmenos</t>
  </si>
  <si>
    <t>mezclador</t>
  </si>
  <si>
    <t>Acero con pintura</t>
  </si>
  <si>
    <t>EPA</t>
  </si>
  <si>
    <t>Imagen</t>
  </si>
  <si>
    <t>Ventas</t>
  </si>
  <si>
    <t>sellos</t>
  </si>
  <si>
    <t>de ingredientes</t>
  </si>
  <si>
    <t>Jaz</t>
  </si>
  <si>
    <t>Regla de madera 1" x4"</t>
  </si>
  <si>
    <t>mm</t>
  </si>
  <si>
    <t>Ferretaria el punto</t>
  </si>
  <si>
    <t>Bisagras 4 pares</t>
  </si>
  <si>
    <t>Tornillos 1/4 4 unidades</t>
  </si>
  <si>
    <t>inversion inicial</t>
  </si>
  <si>
    <t>Mary</t>
  </si>
  <si>
    <t>bolsas</t>
  </si>
  <si>
    <t>Total</t>
  </si>
</sst>
</file>

<file path=xl/styles.xml><?xml version="1.0" encoding="utf-8"?>
<styleSheet xmlns="http://schemas.openxmlformats.org/spreadsheetml/2006/main">
  <numFmts count="11">
    <numFmt numFmtId="176" formatCode="mm/yyyy"/>
    <numFmt numFmtId="177" formatCode="yyyy/mm"/>
    <numFmt numFmtId="178" formatCode="dd/mm/yy"/>
    <numFmt numFmtId="179" formatCode="d/m/yy"/>
    <numFmt numFmtId="180" formatCode="yyyy/m/d"/>
    <numFmt numFmtId="41" formatCode="_-* #,##0_-;\-* #,##0_-;_-* &quot;-&quot;_-;_-@_-"/>
    <numFmt numFmtId="44" formatCode="_-&quot;£&quot;* #,##0.00_-;\-&quot;£&quot;* #,##0.00_-;_-&quot;£&quot;* &quot;-&quot;??_-;_-@_-"/>
    <numFmt numFmtId="181" formatCode="yyyy/m"/>
    <numFmt numFmtId="43" formatCode="_-* #,##0.00_-;\-* #,##0.00_-;_-* &quot;-&quot;??_-;_-@_-"/>
    <numFmt numFmtId="182" formatCode="yyyy/mm/dd"/>
    <numFmt numFmtId="42" formatCode="_-&quot;£&quot;* #,##0_-;\-&quot;£&quot;* #,##0_-;_-&quot;£&quot;* &quot;-&quot;_-;_-@_-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7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17" fillId="7" borderId="6" applyNumberFormat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5" fillId="10" borderId="5" applyNumberFormat="false" applyFont="false" applyAlignment="false" applyProtection="false">
      <alignment vertical="center"/>
    </xf>
    <xf numFmtId="0" fontId="15" fillId="9" borderId="4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7" borderId="4" applyNumberFormat="false" applyAlignment="false" applyProtection="false">
      <alignment vertical="center"/>
    </xf>
    <xf numFmtId="0" fontId="21" fillId="26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2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6" fillId="3" borderId="1" applyNumberFormat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33">
    <xf numFmtId="0" fontId="0" fillId="0" borderId="0" xfId="0" applyFont="true" applyAlignment="true"/>
    <xf numFmtId="0" fontId="1" fillId="0" borderId="0" xfId="0" applyFont="true" applyAlignment="true"/>
    <xf numFmtId="58" fontId="1" fillId="0" borderId="0" xfId="0" applyNumberFormat="true" applyFont="true"/>
    <xf numFmtId="0" fontId="1" fillId="2" borderId="0" xfId="0" applyFont="true" applyFill="true" applyAlignment="true"/>
    <xf numFmtId="0" fontId="1" fillId="2" borderId="0" xfId="0" applyFont="true" applyFill="true"/>
    <xf numFmtId="0" fontId="2" fillId="2" borderId="0" xfId="0" applyFont="true" applyFill="true" applyAlignment="true">
      <alignment horizontal="center" wrapText="true"/>
    </xf>
    <xf numFmtId="0" fontId="1" fillId="0" borderId="0" xfId="0" applyFont="true" applyBorder="true" applyAlignment="true"/>
    <xf numFmtId="0" fontId="1" fillId="0" borderId="0" xfId="0" applyFont="true" applyAlignment="true">
      <alignment horizontal="right"/>
    </xf>
    <xf numFmtId="1" fontId="1" fillId="0" borderId="0" xfId="0" applyNumberFormat="true" applyFont="true" applyAlignment="true">
      <alignment horizontal="right"/>
    </xf>
    <xf numFmtId="180" fontId="1" fillId="0" borderId="0" xfId="0" applyNumberFormat="true" applyFont="true" applyAlignment="true">
      <alignment horizontal="right"/>
    </xf>
    <xf numFmtId="182" fontId="1" fillId="0" borderId="0" xfId="0" applyNumberFormat="true" applyFont="true" applyAlignment="true">
      <alignment horizontal="right"/>
    </xf>
    <xf numFmtId="0" fontId="0" fillId="0" borderId="0" xfId="0" applyBorder="true"/>
    <xf numFmtId="0" fontId="2" fillId="0" borderId="0" xfId="0" applyFont="true" applyBorder="true" applyAlignment="true"/>
    <xf numFmtId="0" fontId="1" fillId="0" borderId="0" xfId="0" applyFont="true" applyBorder="true" applyAlignment="true">
      <alignment horizontal="right"/>
    </xf>
    <xf numFmtId="2" fontId="1" fillId="0" borderId="0" xfId="0" applyNumberFormat="true" applyFont="true" applyBorder="true"/>
    <xf numFmtId="1" fontId="1" fillId="0" borderId="0" xfId="0" applyNumberFormat="true" applyFont="true" applyBorder="true" applyAlignment="true">
      <alignment horizontal="right"/>
    </xf>
    <xf numFmtId="0" fontId="0" fillId="0" borderId="0" xfId="0" applyFont="true" applyBorder="true" applyAlignment="true"/>
    <xf numFmtId="178" fontId="1" fillId="0" borderId="0" xfId="0" applyNumberFormat="true" applyFont="true" applyBorder="true" applyAlignment="true">
      <alignment horizontal="right"/>
    </xf>
    <xf numFmtId="180" fontId="1" fillId="0" borderId="0" xfId="0" applyNumberFormat="true" applyFont="true" applyBorder="true" applyAlignment="true">
      <alignment horizontal="right"/>
    </xf>
    <xf numFmtId="177" fontId="1" fillId="0" borderId="0" xfId="0" applyNumberFormat="true" applyFont="true" applyBorder="true" applyAlignment="true">
      <alignment horizontal="right"/>
    </xf>
    <xf numFmtId="182" fontId="1" fillId="0" borderId="0" xfId="0" applyNumberFormat="true" applyFont="true" applyBorder="true" applyAlignment="true">
      <alignment horizontal="right"/>
    </xf>
    <xf numFmtId="58" fontId="1" fillId="0" borderId="0" xfId="0" applyNumberFormat="true" applyFont="true" applyBorder="true" applyAlignment="true">
      <alignment horizontal="right"/>
    </xf>
    <xf numFmtId="58" fontId="1" fillId="0" borderId="0" xfId="0" applyNumberFormat="true" applyFont="true" applyAlignment="true">
      <alignment horizontal="right"/>
    </xf>
    <xf numFmtId="58" fontId="1" fillId="0" borderId="0" xfId="0" applyNumberFormat="true" applyFont="true" applyBorder="true" applyAlignment="true"/>
    <xf numFmtId="180" fontId="1" fillId="0" borderId="0" xfId="0" applyNumberFormat="true" applyFont="true" applyBorder="true" applyAlignment="true"/>
    <xf numFmtId="181" fontId="1" fillId="0" borderId="0" xfId="0" applyNumberFormat="true" applyFont="true" applyBorder="true" applyAlignment="true">
      <alignment horizontal="right"/>
    </xf>
    <xf numFmtId="182" fontId="1" fillId="0" borderId="0" xfId="0" applyNumberFormat="true" applyFont="true" applyBorder="true" applyAlignment="true"/>
    <xf numFmtId="179" fontId="1" fillId="0" borderId="0" xfId="0" applyNumberFormat="true" applyFont="true" applyBorder="true" applyAlignment="true">
      <alignment horizontal="right"/>
    </xf>
    <xf numFmtId="9" fontId="1" fillId="0" borderId="0" xfId="0" applyNumberFormat="true" applyFont="true" applyBorder="true" applyAlignment="true">
      <alignment horizontal="right"/>
    </xf>
    <xf numFmtId="0" fontId="3" fillId="0" borderId="0" xfId="0" applyFont="true" applyBorder="true" applyAlignment="true">
      <alignment horizontal="right"/>
    </xf>
    <xf numFmtId="181" fontId="1" fillId="0" borderId="0" xfId="0" applyNumberFormat="true" applyFont="true" applyAlignment="true">
      <alignment horizontal="right"/>
    </xf>
    <xf numFmtId="176" fontId="1" fillId="0" borderId="0" xfId="0" applyNumberFormat="true" applyFont="true" applyAlignment="true">
      <alignment horizontal="right"/>
    </xf>
    <xf numFmtId="9" fontId="1" fillId="0" borderId="0" xfId="0" applyNumberFormat="true" applyFont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F6"/>
  <sheetViews>
    <sheetView workbookViewId="0">
      <selection activeCell="A1" sqref="A1"/>
    </sheetView>
  </sheetViews>
  <sheetFormatPr defaultColWidth="14.4333333333333" defaultRowHeight="15.75" customHeight="true" outlineLevelRow="5"/>
  <cols>
    <col min="1" max="1" width="5" customWidth="true"/>
    <col min="2" max="2" width="5.29166666666667" customWidth="true"/>
    <col min="3" max="3" width="4.70833333333333" customWidth="true"/>
    <col min="4" max="4" width="3.56666666666667" customWidth="true"/>
    <col min="5" max="6" width="10.4333333333333" customWidth="true"/>
    <col min="7" max="7" width="14.5666666666667" customWidth="true"/>
    <col min="8" max="8" width="23.1416666666667" customWidth="true"/>
    <col min="9" max="9" width="7.70833333333333" customWidth="true"/>
    <col min="10" max="10" width="8.14166666666667" customWidth="true"/>
    <col min="11" max="11" width="5.14166666666667" customWidth="true"/>
    <col min="12" max="12" width="10.5666666666667" customWidth="true"/>
    <col min="13" max="13" width="10.2916666666667" customWidth="true"/>
  </cols>
  <sheetData>
    <row r="1" ht="12.75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2.75" spans="1:11">
      <c r="A2" s="1">
        <v>1</v>
      </c>
      <c r="B2" s="1">
        <v>2020</v>
      </c>
      <c r="C2" s="1">
        <v>7</v>
      </c>
      <c r="D2" s="1">
        <v>10</v>
      </c>
      <c r="E2" s="2">
        <f>DATE(B2,C2,D2)</f>
        <v>44022</v>
      </c>
      <c r="F2" s="1">
        <v>206470067</v>
      </c>
      <c r="G2" s="1" t="str">
        <f>VLOOKUP(F2,Clientes!$A:$F,2,FALSE)</f>
        <v>Sebastian Mena</v>
      </c>
      <c r="H2" s="1" t="str">
        <f>VLOOKUP(F2,Clientes!$A:$F,4,FALSE)</f>
        <v>sebasmenago@gmail.com</v>
      </c>
      <c r="I2" s="1" t="s">
        <v>13</v>
      </c>
      <c r="J2" s="1">
        <v>40</v>
      </c>
      <c r="K2" s="1"/>
    </row>
    <row r="6" ht="12.75" spans="1:1">
      <c r="A6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F13"/>
  <sheetViews>
    <sheetView workbookViewId="0">
      <selection activeCell="A1" sqref="A1"/>
    </sheetView>
  </sheetViews>
  <sheetFormatPr defaultColWidth="14.4333333333333" defaultRowHeight="15.75" customHeight="true" outlineLevelCol="5"/>
  <sheetData>
    <row r="1" ht="12.75" spans="1:6">
      <c r="A1" s="1" t="s">
        <v>5</v>
      </c>
      <c r="B1" s="1" t="s">
        <v>6</v>
      </c>
      <c r="C1" s="1" t="s">
        <v>14</v>
      </c>
      <c r="D1" s="1" t="s">
        <v>7</v>
      </c>
      <c r="E1" s="1" t="s">
        <v>15</v>
      </c>
      <c r="F1" s="1" t="s">
        <v>16</v>
      </c>
    </row>
    <row r="2" ht="12.75" spans="1:5">
      <c r="A2" s="1">
        <v>206470067</v>
      </c>
      <c r="B2" s="1" t="s">
        <v>17</v>
      </c>
      <c r="C2" s="1">
        <v>83440720</v>
      </c>
      <c r="D2" s="1" t="s">
        <v>18</v>
      </c>
      <c r="E2" s="1" t="s">
        <v>19</v>
      </c>
    </row>
    <row r="3" ht="12.75" spans="1:5">
      <c r="A3" s="1">
        <v>115290508</v>
      </c>
      <c r="B3" s="1" t="s">
        <v>20</v>
      </c>
      <c r="C3" s="1">
        <v>87412292</v>
      </c>
      <c r="D3" s="1" t="s">
        <v>21</v>
      </c>
      <c r="E3" s="1" t="s">
        <v>22</v>
      </c>
    </row>
    <row r="4" ht="12.75" spans="2:2">
      <c r="B4" s="1" t="s">
        <v>23</v>
      </c>
    </row>
    <row r="5" ht="12.75" spans="2:2">
      <c r="B5" s="1" t="s">
        <v>24</v>
      </c>
    </row>
    <row r="6" ht="12.75" spans="2:2">
      <c r="B6" s="1" t="s">
        <v>25</v>
      </c>
    </row>
    <row r="7" ht="12.75" spans="2:2">
      <c r="B7" s="1" t="s">
        <v>26</v>
      </c>
    </row>
    <row r="8" ht="12.75" spans="2:2">
      <c r="B8" s="1" t="s">
        <v>27</v>
      </c>
    </row>
    <row r="9" ht="12.75" spans="2:2">
      <c r="B9" s="1" t="s">
        <v>28</v>
      </c>
    </row>
    <row r="10" ht="12.75" spans="2:2">
      <c r="B10" s="1" t="s">
        <v>29</v>
      </c>
    </row>
    <row r="11" ht="12.75" spans="2:2">
      <c r="B11" s="1" t="s">
        <v>30</v>
      </c>
    </row>
    <row r="12" ht="12.75" spans="2:2">
      <c r="B12" s="1" t="s">
        <v>31</v>
      </c>
    </row>
    <row r="13" ht="12.75" spans="2:2">
      <c r="B13" s="1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E13"/>
  <sheetViews>
    <sheetView workbookViewId="0">
      <selection activeCell="A1" sqref="A1"/>
    </sheetView>
  </sheetViews>
  <sheetFormatPr defaultColWidth="14.4333333333333" defaultRowHeight="15.75" customHeight="true"/>
  <cols>
    <col min="1" max="1" width="7.29166666666667" customWidth="true"/>
    <col min="2" max="2" width="7.70833333333333" customWidth="true"/>
    <col min="3" max="3" width="3.14166666666667" customWidth="true"/>
    <col min="4" max="4" width="10.4333333333333" customWidth="true"/>
    <col min="5" max="5" width="11.7083333333333" customWidth="true"/>
    <col min="6" max="6" width="14.4333333333333" customWidth="true"/>
    <col min="7" max="7" width="11.5666666666667" customWidth="true"/>
    <col min="8" max="8" width="11.7083333333333" customWidth="true"/>
    <col min="9" max="9" width="14" customWidth="true"/>
  </cols>
  <sheetData>
    <row r="1" ht="12.75" spans="1:31">
      <c r="A1" s="3" t="s">
        <v>1</v>
      </c>
      <c r="B1" s="3" t="s">
        <v>2</v>
      </c>
      <c r="C1" s="3" t="s">
        <v>3</v>
      </c>
      <c r="D1" s="3" t="s">
        <v>4</v>
      </c>
      <c r="E1" s="3" t="s">
        <v>33</v>
      </c>
      <c r="F1" s="3" t="s">
        <v>11</v>
      </c>
      <c r="G1" s="3" t="s">
        <v>9</v>
      </c>
      <c r="H1" s="3" t="s">
        <v>34</v>
      </c>
      <c r="I1" s="3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2.75" spans="1:9">
      <c r="A2" s="1">
        <v>2019</v>
      </c>
      <c r="B2" s="1">
        <v>5</v>
      </c>
      <c r="C2" s="1">
        <v>9</v>
      </c>
      <c r="D2" s="2">
        <f t="shared" ref="D2:D13" si="0">DATE(A2,B2,C2)</f>
        <v>43594</v>
      </c>
      <c r="E2" s="1" t="s">
        <v>35</v>
      </c>
      <c r="F2" s="32">
        <v>0.5</v>
      </c>
      <c r="G2" s="1">
        <v>600</v>
      </c>
      <c r="H2" s="1">
        <v>66</v>
      </c>
      <c r="I2">
        <f t="shared" ref="I2:I13" si="1">H2*G2</f>
        <v>39600</v>
      </c>
    </row>
    <row r="3" ht="12.75" spans="1:9">
      <c r="A3" s="1">
        <v>2019</v>
      </c>
      <c r="B3" s="1">
        <v>5</v>
      </c>
      <c r="C3" s="1">
        <v>9</v>
      </c>
      <c r="D3" s="2">
        <f t="shared" si="0"/>
        <v>43594</v>
      </c>
      <c r="E3" s="1" t="s">
        <v>36</v>
      </c>
      <c r="F3" s="1" t="s">
        <v>37</v>
      </c>
      <c r="G3" s="1">
        <v>10</v>
      </c>
      <c r="H3" s="1">
        <v>2000</v>
      </c>
      <c r="I3">
        <f t="shared" si="1"/>
        <v>20000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36</v>
      </c>
      <c r="F4" s="1" t="s">
        <v>38</v>
      </c>
      <c r="G4" s="1">
        <v>10</v>
      </c>
      <c r="H4" s="1">
        <v>2000</v>
      </c>
      <c r="I4">
        <f t="shared" si="1"/>
        <v>20000</v>
      </c>
    </row>
    <row r="5" ht="12.75" spans="1:9">
      <c r="A5" s="1">
        <v>2019</v>
      </c>
      <c r="B5" s="1">
        <v>5</v>
      </c>
      <c r="C5" s="1">
        <v>9</v>
      </c>
      <c r="D5" s="2">
        <f t="shared" si="0"/>
        <v>43594</v>
      </c>
      <c r="E5" s="1" t="s">
        <v>36</v>
      </c>
      <c r="F5" s="1" t="s">
        <v>39</v>
      </c>
      <c r="G5" s="1">
        <v>9</v>
      </c>
      <c r="H5" s="1">
        <v>2000</v>
      </c>
      <c r="I5">
        <f t="shared" si="1"/>
        <v>18000</v>
      </c>
    </row>
    <row r="6" ht="12.75" spans="1:9">
      <c r="A6" s="1">
        <v>2019</v>
      </c>
      <c r="B6" s="1">
        <v>5</v>
      </c>
      <c r="C6" s="1">
        <v>9</v>
      </c>
      <c r="D6" s="2">
        <f t="shared" si="0"/>
        <v>43594</v>
      </c>
      <c r="E6" s="1" t="s">
        <v>36</v>
      </c>
      <c r="F6" s="1" t="s">
        <v>40</v>
      </c>
      <c r="G6" s="1">
        <v>9</v>
      </c>
      <c r="H6" s="1">
        <v>2000</v>
      </c>
      <c r="I6">
        <f t="shared" si="1"/>
        <v>18000</v>
      </c>
    </row>
    <row r="7" ht="12.75" spans="1:9">
      <c r="A7" s="1">
        <v>2019</v>
      </c>
      <c r="B7" s="1">
        <v>5</v>
      </c>
      <c r="C7" s="1">
        <v>9</v>
      </c>
      <c r="D7" s="2">
        <f t="shared" si="0"/>
        <v>43594</v>
      </c>
      <c r="E7" s="1" t="s">
        <v>36</v>
      </c>
      <c r="F7" s="1" t="s">
        <v>41</v>
      </c>
      <c r="G7" s="1">
        <v>8</v>
      </c>
      <c r="H7" s="1">
        <v>2500</v>
      </c>
      <c r="I7">
        <f t="shared" si="1"/>
        <v>20000</v>
      </c>
    </row>
    <row r="8" ht="12.75" spans="1:9">
      <c r="A8" s="1">
        <v>2019</v>
      </c>
      <c r="B8" s="1">
        <v>5</v>
      </c>
      <c r="C8" s="1">
        <v>26</v>
      </c>
      <c r="D8" s="2">
        <f t="shared" si="0"/>
        <v>43611</v>
      </c>
      <c r="E8" s="1" t="s">
        <v>42</v>
      </c>
      <c r="F8" s="1" t="s">
        <v>38</v>
      </c>
      <c r="G8" s="1">
        <v>27</v>
      </c>
      <c r="H8" s="1">
        <v>2000</v>
      </c>
      <c r="I8">
        <f t="shared" si="1"/>
        <v>54000</v>
      </c>
    </row>
    <row r="9" ht="12.75" spans="1:9">
      <c r="A9" s="1">
        <v>2019</v>
      </c>
      <c r="B9" s="1">
        <v>10</v>
      </c>
      <c r="C9" s="1">
        <v>12</v>
      </c>
      <c r="D9" s="2">
        <f t="shared" si="0"/>
        <v>43750</v>
      </c>
      <c r="E9" s="1" t="s">
        <v>43</v>
      </c>
      <c r="F9" s="1" t="s">
        <v>44</v>
      </c>
      <c r="G9" s="1">
        <v>8</v>
      </c>
      <c r="H9" s="1">
        <v>1000</v>
      </c>
      <c r="I9">
        <f t="shared" si="1"/>
        <v>8000</v>
      </c>
    </row>
    <row r="10" ht="12.75" spans="1:9">
      <c r="A10" s="1">
        <v>2019</v>
      </c>
      <c r="B10" s="1">
        <v>10</v>
      </c>
      <c r="C10" s="1">
        <v>12</v>
      </c>
      <c r="D10" s="2">
        <f t="shared" si="0"/>
        <v>43750</v>
      </c>
      <c r="E10" s="1" t="s">
        <v>43</v>
      </c>
      <c r="F10" s="1" t="s">
        <v>45</v>
      </c>
      <c r="G10" s="1">
        <v>100</v>
      </c>
      <c r="H10" s="1">
        <v>500</v>
      </c>
      <c r="I10">
        <f t="shared" si="1"/>
        <v>50000</v>
      </c>
    </row>
    <row r="11" ht="12.75" spans="1:9">
      <c r="A11" s="1">
        <v>2019</v>
      </c>
      <c r="B11" s="1">
        <v>10</v>
      </c>
      <c r="C11" s="1">
        <v>12</v>
      </c>
      <c r="D11" s="2">
        <f t="shared" si="0"/>
        <v>43750</v>
      </c>
      <c r="E11" s="1" t="s">
        <v>46</v>
      </c>
      <c r="F11" s="1" t="s">
        <v>47</v>
      </c>
      <c r="G11" s="1">
        <v>20</v>
      </c>
      <c r="H11" s="1">
        <v>1500</v>
      </c>
      <c r="I11">
        <f t="shared" si="1"/>
        <v>30000</v>
      </c>
    </row>
    <row r="12" ht="12.75" spans="1:9">
      <c r="A12" s="1">
        <v>2020</v>
      </c>
      <c r="B12" s="1">
        <v>6</v>
      </c>
      <c r="C12" s="1">
        <v>28</v>
      </c>
      <c r="D12" s="2">
        <f t="shared" si="0"/>
        <v>44010</v>
      </c>
      <c r="E12" s="1" t="s">
        <v>43</v>
      </c>
      <c r="F12" s="1" t="s">
        <v>44</v>
      </c>
      <c r="G12" s="1">
        <v>100</v>
      </c>
      <c r="H12" s="1">
        <v>1000</v>
      </c>
      <c r="I12">
        <f t="shared" si="1"/>
        <v>100000</v>
      </c>
    </row>
    <row r="13" ht="12.75" spans="1:9">
      <c r="A13" s="1">
        <v>2020</v>
      </c>
      <c r="B13" s="1">
        <v>6</v>
      </c>
      <c r="C13" s="1">
        <v>28</v>
      </c>
      <c r="D13" s="2">
        <f t="shared" si="0"/>
        <v>44010</v>
      </c>
      <c r="E13" s="1" t="s">
        <v>35</v>
      </c>
      <c r="F13" s="32">
        <v>0.5</v>
      </c>
      <c r="G13" s="1">
        <v>500</v>
      </c>
      <c r="H13" s="1">
        <v>67</v>
      </c>
      <c r="I13">
        <f t="shared" si="1"/>
        <v>33500</v>
      </c>
    </row>
  </sheetData>
  <autoFilter ref="A1:I1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M114"/>
  <sheetViews>
    <sheetView tabSelected="1" workbookViewId="0">
      <pane ySplit="1" topLeftCell="A64" activePane="bottomLeft" state="frozen"/>
      <selection/>
      <selection pane="bottomLeft" activeCell="C75" sqref="C75"/>
    </sheetView>
  </sheetViews>
  <sheetFormatPr defaultColWidth="14.4333333333333" defaultRowHeight="15.75" customHeight="true"/>
  <cols>
    <col min="1" max="1" width="12.5666666666667" customWidth="true"/>
    <col min="2" max="2" width="15" customWidth="true"/>
    <col min="3" max="3" width="29.4333333333333" customWidth="true"/>
    <col min="4" max="4" width="42.1416666666667" customWidth="true"/>
    <col min="5" max="5" width="12" customWidth="true"/>
    <col min="6" max="6" width="10.2916666666667" customWidth="true"/>
    <col min="7" max="7" width="9.70833333333333" customWidth="true"/>
    <col min="8" max="8" width="13" customWidth="true"/>
    <col min="9" max="9" width="10.4333333333333" customWidth="true"/>
    <col min="10" max="10" width="17.2916666666667" customWidth="true"/>
    <col min="11" max="11" width="12" customWidth="true"/>
    <col min="12" max="12" width="10.1416666666667" customWidth="true"/>
    <col min="13" max="25" width="16.5666666666667" customWidth="true"/>
  </cols>
  <sheetData>
    <row r="1" ht="25.5" spans="1:12">
      <c r="A1" s="5" t="s">
        <v>48</v>
      </c>
      <c r="B1" s="5" t="s">
        <v>49</v>
      </c>
      <c r="C1" s="5" t="s">
        <v>33</v>
      </c>
      <c r="D1" s="5" t="s">
        <v>11</v>
      </c>
      <c r="E1" s="5" t="s">
        <v>9</v>
      </c>
      <c r="F1" s="5" t="s">
        <v>50</v>
      </c>
      <c r="G1" s="5" t="s">
        <v>51</v>
      </c>
      <c r="H1" s="5" t="s">
        <v>34</v>
      </c>
      <c r="I1" s="5" t="s">
        <v>52</v>
      </c>
      <c r="J1" s="5" t="s">
        <v>53</v>
      </c>
      <c r="K1" s="5" t="s">
        <v>54</v>
      </c>
      <c r="L1" s="5" t="s">
        <v>55</v>
      </c>
    </row>
    <row r="2" ht="12.75" spans="1:12">
      <c r="A2" s="6" t="s">
        <v>56</v>
      </c>
      <c r="B2" s="6" t="s">
        <v>57</v>
      </c>
      <c r="C2" s="6" t="s">
        <v>58</v>
      </c>
      <c r="D2" s="6" t="s">
        <v>59</v>
      </c>
      <c r="E2" s="13">
        <v>750</v>
      </c>
      <c r="F2" s="6" t="s">
        <v>60</v>
      </c>
      <c r="G2" s="13">
        <v>8000</v>
      </c>
      <c r="H2" s="13">
        <f t="shared" ref="H2:H59" si="0">G2/E2</f>
        <v>10.6666666666667</v>
      </c>
      <c r="I2" s="17">
        <v>43373</v>
      </c>
      <c r="J2" s="6" t="s">
        <v>61</v>
      </c>
      <c r="K2" s="18">
        <v>43397</v>
      </c>
      <c r="L2" s="6" t="s">
        <v>62</v>
      </c>
    </row>
    <row r="3" ht="12.75" spans="1:12">
      <c r="A3" s="6" t="s">
        <v>56</v>
      </c>
      <c r="B3" s="6" t="s">
        <v>57</v>
      </c>
      <c r="C3" s="6" t="s">
        <v>63</v>
      </c>
      <c r="D3" s="6" t="s">
        <v>64</v>
      </c>
      <c r="E3" s="13">
        <v>887</v>
      </c>
      <c r="F3" s="6" t="s">
        <v>60</v>
      </c>
      <c r="G3" s="13">
        <v>4900</v>
      </c>
      <c r="H3" s="13">
        <f t="shared" si="0"/>
        <v>5.52423900789177</v>
      </c>
      <c r="I3" s="19">
        <v>43556</v>
      </c>
      <c r="J3" s="6" t="s">
        <v>65</v>
      </c>
      <c r="K3" s="20">
        <v>43105</v>
      </c>
      <c r="L3" s="6" t="s">
        <v>66</v>
      </c>
    </row>
    <row r="4" ht="12.75" spans="1:12">
      <c r="A4" s="6" t="s">
        <v>56</v>
      </c>
      <c r="B4" s="6" t="s">
        <v>57</v>
      </c>
      <c r="C4" s="6" t="s">
        <v>63</v>
      </c>
      <c r="D4" s="6" t="s">
        <v>64</v>
      </c>
      <c r="E4" s="13">
        <v>887</v>
      </c>
      <c r="F4" s="6" t="s">
        <v>60</v>
      </c>
      <c r="G4" s="13">
        <v>4900</v>
      </c>
      <c r="H4" s="13">
        <f t="shared" si="0"/>
        <v>5.52423900789177</v>
      </c>
      <c r="I4" s="19"/>
      <c r="J4" s="6" t="s">
        <v>65</v>
      </c>
      <c r="K4" s="20">
        <v>43182</v>
      </c>
      <c r="L4" s="6" t="s">
        <v>66</v>
      </c>
    </row>
    <row r="5" ht="12.75" spans="1:12">
      <c r="A5" s="6" t="s">
        <v>56</v>
      </c>
      <c r="B5" s="6" t="s">
        <v>57</v>
      </c>
      <c r="C5" s="6" t="s">
        <v>63</v>
      </c>
      <c r="D5" s="6" t="s">
        <v>64</v>
      </c>
      <c r="E5" s="13">
        <v>887</v>
      </c>
      <c r="F5" s="6" t="s">
        <v>60</v>
      </c>
      <c r="G5" s="13">
        <v>4400</v>
      </c>
      <c r="H5" s="13">
        <f t="shared" si="0"/>
        <v>4.96054114994363</v>
      </c>
      <c r="I5" s="21">
        <v>44008</v>
      </c>
      <c r="J5" s="6" t="s">
        <v>67</v>
      </c>
      <c r="K5" s="18">
        <v>43383</v>
      </c>
      <c r="L5" s="6" t="s">
        <v>66</v>
      </c>
    </row>
    <row r="6" ht="12.75" spans="1:12">
      <c r="A6" s="6" t="s">
        <v>56</v>
      </c>
      <c r="B6" s="6" t="s">
        <v>57</v>
      </c>
      <c r="C6" s="6" t="s">
        <v>63</v>
      </c>
      <c r="D6" s="6" t="s">
        <v>64</v>
      </c>
      <c r="E6" s="13">
        <v>887</v>
      </c>
      <c r="F6" s="6" t="s">
        <v>60</v>
      </c>
      <c r="G6" s="13">
        <v>4400</v>
      </c>
      <c r="H6" s="13">
        <f t="shared" si="0"/>
        <v>4.96054114994363</v>
      </c>
      <c r="I6" s="22">
        <v>44008</v>
      </c>
      <c r="J6" s="6" t="s">
        <v>67</v>
      </c>
      <c r="K6" s="18">
        <v>43383</v>
      </c>
      <c r="L6" s="6" t="s">
        <v>66</v>
      </c>
    </row>
    <row r="7" ht="12.75" spans="1:12">
      <c r="A7" s="6" t="s">
        <v>56</v>
      </c>
      <c r="B7" s="6" t="s">
        <v>57</v>
      </c>
      <c r="C7" s="6" t="s">
        <v>63</v>
      </c>
      <c r="D7" s="6" t="s">
        <v>64</v>
      </c>
      <c r="E7" s="13">
        <v>887</v>
      </c>
      <c r="F7" s="6" t="s">
        <v>60</v>
      </c>
      <c r="G7" s="13">
        <v>4400</v>
      </c>
      <c r="H7" s="13">
        <f t="shared" si="0"/>
        <v>4.96054114994363</v>
      </c>
      <c r="I7" s="21">
        <v>44008</v>
      </c>
      <c r="J7" s="6" t="s">
        <v>67</v>
      </c>
      <c r="K7" s="18">
        <v>43383</v>
      </c>
      <c r="L7" s="6" t="s">
        <v>68</v>
      </c>
    </row>
    <row r="8" ht="12.75" spans="1:12">
      <c r="A8" s="6" t="s">
        <v>56</v>
      </c>
      <c r="B8" s="6" t="s">
        <v>57</v>
      </c>
      <c r="C8" s="6" t="s">
        <v>63</v>
      </c>
      <c r="D8" s="6" t="s">
        <v>64</v>
      </c>
      <c r="E8" s="13">
        <v>887</v>
      </c>
      <c r="F8" s="6" t="s">
        <v>60</v>
      </c>
      <c r="G8" s="13">
        <v>4950</v>
      </c>
      <c r="H8" s="13">
        <f t="shared" si="0"/>
        <v>5.58060879368658</v>
      </c>
      <c r="I8" s="23"/>
      <c r="J8" s="6" t="s">
        <v>67</v>
      </c>
      <c r="K8" s="18">
        <v>43523</v>
      </c>
      <c r="L8" s="6" t="s">
        <v>62</v>
      </c>
    </row>
    <row r="9" ht="12.75" spans="1:12">
      <c r="A9" s="6" t="s">
        <v>56</v>
      </c>
      <c r="B9" s="6" t="s">
        <v>57</v>
      </c>
      <c r="C9" s="6" t="s">
        <v>63</v>
      </c>
      <c r="D9" s="6" t="s">
        <v>64</v>
      </c>
      <c r="E9" s="13">
        <v>887</v>
      </c>
      <c r="F9" s="6" t="s">
        <v>60</v>
      </c>
      <c r="G9" s="13">
        <v>4950</v>
      </c>
      <c r="H9" s="13">
        <f t="shared" si="0"/>
        <v>5.58060879368658</v>
      </c>
      <c r="I9" s="23"/>
      <c r="J9" s="6" t="s">
        <v>67</v>
      </c>
      <c r="K9" s="18">
        <v>43523</v>
      </c>
      <c r="L9" s="6" t="s">
        <v>62</v>
      </c>
    </row>
    <row r="10" ht="12.75" spans="1:12">
      <c r="A10" s="6" t="s">
        <v>56</v>
      </c>
      <c r="B10" s="6" t="s">
        <v>57</v>
      </c>
      <c r="C10" s="6" t="s">
        <v>63</v>
      </c>
      <c r="D10" s="6" t="s">
        <v>64</v>
      </c>
      <c r="E10" s="13">
        <v>887</v>
      </c>
      <c r="F10" s="6" t="s">
        <v>60</v>
      </c>
      <c r="G10" s="13">
        <v>4950</v>
      </c>
      <c r="H10" s="13">
        <f t="shared" si="0"/>
        <v>5.58060879368658</v>
      </c>
      <c r="I10" s="23"/>
      <c r="J10" s="6" t="s">
        <v>67</v>
      </c>
      <c r="K10" s="18">
        <v>43523</v>
      </c>
      <c r="L10" s="6" t="s">
        <v>62</v>
      </c>
    </row>
    <row r="11" ht="12.75" spans="1:12">
      <c r="A11" s="6" t="s">
        <v>56</v>
      </c>
      <c r="B11" s="6" t="s">
        <v>57</v>
      </c>
      <c r="C11" s="6" t="s">
        <v>63</v>
      </c>
      <c r="D11" s="6" t="s">
        <v>64</v>
      </c>
      <c r="E11" s="13">
        <v>887</v>
      </c>
      <c r="F11" s="6" t="s">
        <v>60</v>
      </c>
      <c r="G11" s="13">
        <v>4950</v>
      </c>
      <c r="H11" s="13">
        <f t="shared" si="0"/>
        <v>5.58060879368658</v>
      </c>
      <c r="I11" s="23"/>
      <c r="J11" s="6" t="s">
        <v>67</v>
      </c>
      <c r="K11" s="18">
        <v>43523</v>
      </c>
      <c r="L11" s="6" t="s">
        <v>62</v>
      </c>
    </row>
    <row r="12" ht="12.75" spans="1:12">
      <c r="A12" s="6" t="s">
        <v>56</v>
      </c>
      <c r="B12" s="6" t="s">
        <v>69</v>
      </c>
      <c r="C12" s="6" t="s">
        <v>63</v>
      </c>
      <c r="D12" s="11"/>
      <c r="E12" s="6">
        <v>1000</v>
      </c>
      <c r="F12" s="6" t="s">
        <v>60</v>
      </c>
      <c r="G12" s="6">
        <v>8910</v>
      </c>
      <c r="H12" s="14">
        <f t="shared" si="0"/>
        <v>8.91</v>
      </c>
      <c r="I12" s="11"/>
      <c r="J12" s="6" t="s">
        <v>70</v>
      </c>
      <c r="K12" s="24">
        <v>44063</v>
      </c>
      <c r="L12" s="11"/>
    </row>
    <row r="13" ht="12.75" spans="1:12">
      <c r="A13" s="6" t="s">
        <v>56</v>
      </c>
      <c r="B13" s="6" t="s">
        <v>57</v>
      </c>
      <c r="C13" s="6" t="s">
        <v>71</v>
      </c>
      <c r="D13" s="6" t="s">
        <v>72</v>
      </c>
      <c r="E13" s="13">
        <v>20</v>
      </c>
      <c r="F13" s="6" t="s">
        <v>60</v>
      </c>
      <c r="G13" s="13">
        <v>6350</v>
      </c>
      <c r="H13" s="13">
        <f t="shared" si="0"/>
        <v>317.5</v>
      </c>
      <c r="I13" s="6"/>
      <c r="J13" s="6" t="s">
        <v>73</v>
      </c>
      <c r="K13" s="20">
        <v>43367</v>
      </c>
      <c r="L13" s="6" t="s">
        <v>62</v>
      </c>
    </row>
    <row r="14" ht="12.75" spans="1:12">
      <c r="A14" s="6" t="s">
        <v>56</v>
      </c>
      <c r="B14" s="6" t="s">
        <v>57</v>
      </c>
      <c r="C14" s="6" t="s">
        <v>74</v>
      </c>
      <c r="D14" s="6" t="s">
        <v>75</v>
      </c>
      <c r="E14" s="13">
        <v>1000</v>
      </c>
      <c r="F14" s="6" t="s">
        <v>60</v>
      </c>
      <c r="G14" s="13">
        <v>3100</v>
      </c>
      <c r="H14" s="13">
        <f t="shared" si="0"/>
        <v>3.1</v>
      </c>
      <c r="I14" s="25">
        <v>43405</v>
      </c>
      <c r="J14" s="6" t="s">
        <v>76</v>
      </c>
      <c r="K14" s="20">
        <v>43105</v>
      </c>
      <c r="L14" s="6" t="s">
        <v>66</v>
      </c>
    </row>
    <row r="15" ht="12.75" spans="1:12">
      <c r="A15" s="6" t="s">
        <v>56</v>
      </c>
      <c r="B15" s="6" t="s">
        <v>57</v>
      </c>
      <c r="C15" s="6" t="s">
        <v>74</v>
      </c>
      <c r="D15" s="6" t="s">
        <v>77</v>
      </c>
      <c r="E15" s="13">
        <v>1000</v>
      </c>
      <c r="F15" s="6" t="s">
        <v>60</v>
      </c>
      <c r="G15" s="15">
        <v>3350</v>
      </c>
      <c r="H15" s="13">
        <f t="shared" si="0"/>
        <v>3.35</v>
      </c>
      <c r="I15" s="20">
        <v>43988</v>
      </c>
      <c r="J15" s="6" t="s">
        <v>76</v>
      </c>
      <c r="K15" s="20">
        <v>43412</v>
      </c>
      <c r="L15" s="6" t="s">
        <v>66</v>
      </c>
    </row>
    <row r="16" ht="12.75" spans="1:12">
      <c r="A16" s="6" t="s">
        <v>56</v>
      </c>
      <c r="B16" s="6" t="s">
        <v>57</v>
      </c>
      <c r="C16" s="6" t="s">
        <v>74</v>
      </c>
      <c r="D16" s="6" t="s">
        <v>77</v>
      </c>
      <c r="E16" s="13">
        <v>1000</v>
      </c>
      <c r="F16" s="6" t="s">
        <v>60</v>
      </c>
      <c r="G16" s="15">
        <v>3350</v>
      </c>
      <c r="H16" s="13">
        <f t="shared" si="0"/>
        <v>3.35</v>
      </c>
      <c r="I16" s="19">
        <v>43988</v>
      </c>
      <c r="J16" s="6" t="s">
        <v>76</v>
      </c>
      <c r="K16" s="20">
        <v>43412</v>
      </c>
      <c r="L16" s="6" t="s">
        <v>62</v>
      </c>
    </row>
    <row r="17" ht="12.75" spans="1:12">
      <c r="A17" s="6" t="s">
        <v>56</v>
      </c>
      <c r="B17" s="6" t="s">
        <v>57</v>
      </c>
      <c r="C17" s="6" t="s">
        <v>74</v>
      </c>
      <c r="D17" s="6" t="s">
        <v>77</v>
      </c>
      <c r="E17" s="13">
        <v>1000</v>
      </c>
      <c r="F17" s="6" t="s">
        <v>60</v>
      </c>
      <c r="G17" s="13">
        <v>3600</v>
      </c>
      <c r="H17" s="13">
        <f t="shared" si="0"/>
        <v>3.6</v>
      </c>
      <c r="I17" s="20">
        <v>43988</v>
      </c>
      <c r="J17" s="6" t="s">
        <v>76</v>
      </c>
      <c r="K17" s="18">
        <v>43451</v>
      </c>
      <c r="L17" s="6" t="s">
        <v>68</v>
      </c>
    </row>
    <row r="18" ht="12.75" spans="1:12">
      <c r="A18" s="6" t="s">
        <v>56</v>
      </c>
      <c r="B18" s="6" t="s">
        <v>57</v>
      </c>
      <c r="C18" s="6" t="s">
        <v>74</v>
      </c>
      <c r="D18" s="6" t="s">
        <v>77</v>
      </c>
      <c r="E18" s="13">
        <v>1000</v>
      </c>
      <c r="F18" s="6" t="s">
        <v>60</v>
      </c>
      <c r="G18" s="13">
        <v>3600</v>
      </c>
      <c r="H18" s="13">
        <f t="shared" si="0"/>
        <v>3.6</v>
      </c>
      <c r="I18" s="20">
        <v>43988</v>
      </c>
      <c r="J18" s="6" t="s">
        <v>76</v>
      </c>
      <c r="K18" s="18">
        <v>43451</v>
      </c>
      <c r="L18" s="6" t="s">
        <v>68</v>
      </c>
    </row>
    <row r="19" ht="12.75" spans="1:12">
      <c r="A19" s="6" t="s">
        <v>56</v>
      </c>
      <c r="B19" s="6" t="s">
        <v>57</v>
      </c>
      <c r="C19" s="6" t="s">
        <v>74</v>
      </c>
      <c r="D19" s="6" t="s">
        <v>77</v>
      </c>
      <c r="E19" s="13">
        <v>1000</v>
      </c>
      <c r="F19" s="6" t="s">
        <v>60</v>
      </c>
      <c r="G19" s="13">
        <v>3600</v>
      </c>
      <c r="H19" s="13">
        <f t="shared" si="0"/>
        <v>3.6</v>
      </c>
      <c r="I19" s="20">
        <v>43988</v>
      </c>
      <c r="J19" s="6" t="s">
        <v>76</v>
      </c>
      <c r="K19" s="18">
        <v>43451</v>
      </c>
      <c r="L19" s="6" t="s">
        <v>68</v>
      </c>
    </row>
    <row r="20" ht="12.75" spans="1:12">
      <c r="A20" s="6" t="s">
        <v>56</v>
      </c>
      <c r="B20" s="6" t="s">
        <v>57</v>
      </c>
      <c r="C20" s="6" t="s">
        <v>74</v>
      </c>
      <c r="D20" s="6" t="s">
        <v>78</v>
      </c>
      <c r="E20" s="6">
        <v>1000</v>
      </c>
      <c r="F20" s="6" t="s">
        <v>60</v>
      </c>
      <c r="G20" s="16">
        <f>(6.93+(6.93*0.13))*585</f>
        <v>4581.0765</v>
      </c>
      <c r="H20" s="14">
        <f t="shared" si="0"/>
        <v>4.5810765</v>
      </c>
      <c r="I20" s="11"/>
      <c r="J20" s="6" t="s">
        <v>70</v>
      </c>
      <c r="K20" s="26">
        <v>44047</v>
      </c>
      <c r="L20" s="11"/>
    </row>
    <row r="21" ht="12.75" spans="1:12">
      <c r="A21" s="6" t="s">
        <v>56</v>
      </c>
      <c r="B21" s="6" t="s">
        <v>57</v>
      </c>
      <c r="C21" s="6" t="s">
        <v>79</v>
      </c>
      <c r="D21" s="6" t="s">
        <v>80</v>
      </c>
      <c r="E21" s="13">
        <v>1000</v>
      </c>
      <c r="F21" s="6" t="s">
        <v>60</v>
      </c>
      <c r="G21" s="15">
        <v>2650</v>
      </c>
      <c r="H21" s="13">
        <f t="shared" si="0"/>
        <v>2.65</v>
      </c>
      <c r="I21" s="19">
        <v>43739</v>
      </c>
      <c r="J21" s="6" t="s">
        <v>76</v>
      </c>
      <c r="K21" s="20">
        <v>43412</v>
      </c>
      <c r="L21" s="6" t="s">
        <v>68</v>
      </c>
    </row>
    <row r="22" ht="12.75" spans="1:12">
      <c r="A22" s="6" t="s">
        <v>56</v>
      </c>
      <c r="B22" s="6" t="s">
        <v>57</v>
      </c>
      <c r="C22" s="6" t="s">
        <v>79</v>
      </c>
      <c r="D22" s="6" t="s">
        <v>80</v>
      </c>
      <c r="E22" s="13">
        <v>1000</v>
      </c>
      <c r="F22" s="6" t="s">
        <v>60</v>
      </c>
      <c r="G22" s="15">
        <v>2650</v>
      </c>
      <c r="H22" s="13">
        <f t="shared" si="0"/>
        <v>2.65</v>
      </c>
      <c r="I22" s="19">
        <v>43739</v>
      </c>
      <c r="J22" s="6" t="s">
        <v>76</v>
      </c>
      <c r="K22" s="20">
        <v>43412</v>
      </c>
      <c r="L22" s="6" t="s">
        <v>62</v>
      </c>
    </row>
    <row r="23" ht="12.75" spans="1:12">
      <c r="A23" s="6" t="s">
        <v>56</v>
      </c>
      <c r="B23" s="6" t="s">
        <v>81</v>
      </c>
      <c r="C23" s="6" t="s">
        <v>82</v>
      </c>
      <c r="D23" s="6" t="s">
        <v>83</v>
      </c>
      <c r="E23" s="13">
        <v>1000</v>
      </c>
      <c r="F23" s="6" t="s">
        <v>84</v>
      </c>
      <c r="G23" s="13">
        <v>1486.08</v>
      </c>
      <c r="H23" s="13">
        <f t="shared" si="0"/>
        <v>1.48608</v>
      </c>
      <c r="I23" s="25">
        <v>43435</v>
      </c>
      <c r="J23" s="6" t="s">
        <v>85</v>
      </c>
      <c r="K23" s="20">
        <v>43168</v>
      </c>
      <c r="L23" s="6" t="s">
        <v>68</v>
      </c>
    </row>
    <row r="24" ht="12.75" spans="1:12">
      <c r="A24" s="6" t="s">
        <v>56</v>
      </c>
      <c r="B24" s="6" t="s">
        <v>57</v>
      </c>
      <c r="C24" s="6" t="s">
        <v>86</v>
      </c>
      <c r="D24" s="6" t="s">
        <v>75</v>
      </c>
      <c r="E24" s="13">
        <v>1000</v>
      </c>
      <c r="F24" s="6" t="s">
        <v>60</v>
      </c>
      <c r="G24" s="15">
        <v>3100</v>
      </c>
      <c r="H24" s="13">
        <f t="shared" si="0"/>
        <v>3.1</v>
      </c>
      <c r="I24" s="19">
        <v>43647</v>
      </c>
      <c r="J24" s="6" t="s">
        <v>76</v>
      </c>
      <c r="K24" s="20">
        <v>43105</v>
      </c>
      <c r="L24" s="6" t="s">
        <v>66</v>
      </c>
    </row>
    <row r="25" ht="12.75" spans="1:12">
      <c r="A25" s="6" t="s">
        <v>56</v>
      </c>
      <c r="B25" s="6" t="s">
        <v>57</v>
      </c>
      <c r="C25" s="6" t="s">
        <v>87</v>
      </c>
      <c r="D25" s="6" t="s">
        <v>83</v>
      </c>
      <c r="E25" s="13">
        <v>30</v>
      </c>
      <c r="F25" s="6" t="s">
        <v>60</v>
      </c>
      <c r="G25" s="15">
        <v>1785.6</v>
      </c>
      <c r="H25" s="13">
        <f t="shared" si="0"/>
        <v>59.52</v>
      </c>
      <c r="I25" s="6"/>
      <c r="J25" s="6" t="s">
        <v>85</v>
      </c>
      <c r="K25" s="20">
        <v>43104</v>
      </c>
      <c r="L25" s="6" t="s">
        <v>66</v>
      </c>
    </row>
    <row r="26" ht="12.75" spans="1:12">
      <c r="A26" s="6" t="s">
        <v>56</v>
      </c>
      <c r="B26" s="6" t="s">
        <v>57</v>
      </c>
      <c r="C26" s="6" t="s">
        <v>88</v>
      </c>
      <c r="D26" s="6" t="s">
        <v>89</v>
      </c>
      <c r="E26" s="13">
        <v>30</v>
      </c>
      <c r="F26" s="6" t="s">
        <v>60</v>
      </c>
      <c r="G26" s="13">
        <v>5472</v>
      </c>
      <c r="H26" s="13">
        <f t="shared" si="0"/>
        <v>182.4</v>
      </c>
      <c r="I26" s="6"/>
      <c r="J26" s="6" t="s">
        <v>85</v>
      </c>
      <c r="K26" s="20">
        <v>43168</v>
      </c>
      <c r="L26" s="6" t="s">
        <v>62</v>
      </c>
    </row>
    <row r="27" ht="12.75" spans="1:12">
      <c r="A27" s="6" t="s">
        <v>56</v>
      </c>
      <c r="B27" s="6" t="s">
        <v>57</v>
      </c>
      <c r="C27" s="6" t="s">
        <v>88</v>
      </c>
      <c r="D27" s="11"/>
      <c r="E27" s="6">
        <v>120</v>
      </c>
      <c r="F27" s="6" t="s">
        <v>60</v>
      </c>
      <c r="G27" s="16">
        <f>(34.2+(34.2*0.13))*585</f>
        <v>22607.91</v>
      </c>
      <c r="H27" s="14">
        <f t="shared" si="0"/>
        <v>188.39925</v>
      </c>
      <c r="I27" s="11"/>
      <c r="J27" s="6" t="s">
        <v>70</v>
      </c>
      <c r="K27" s="26">
        <v>44047</v>
      </c>
      <c r="L27" s="11"/>
    </row>
    <row r="28" ht="12.75" spans="1:12">
      <c r="A28" s="6" t="s">
        <v>56</v>
      </c>
      <c r="B28" s="6" t="s">
        <v>57</v>
      </c>
      <c r="C28" s="6" t="s">
        <v>90</v>
      </c>
      <c r="D28" s="6"/>
      <c r="E28" s="13">
        <v>57.15</v>
      </c>
      <c r="F28" s="6" t="s">
        <v>60</v>
      </c>
      <c r="G28" s="13">
        <v>3097.34</v>
      </c>
      <c r="H28" s="13">
        <f t="shared" si="0"/>
        <v>54.1966754155731</v>
      </c>
      <c r="I28" s="6"/>
      <c r="J28" s="6" t="s">
        <v>91</v>
      </c>
      <c r="K28" s="18">
        <v>43383</v>
      </c>
      <c r="L28" s="6" t="s">
        <v>62</v>
      </c>
    </row>
    <row r="29" ht="12.75" spans="1:12">
      <c r="A29" s="6" t="s">
        <v>56</v>
      </c>
      <c r="B29" s="6" t="s">
        <v>69</v>
      </c>
      <c r="C29" s="6" t="s">
        <v>92</v>
      </c>
      <c r="D29" s="6"/>
      <c r="E29" s="13">
        <v>60</v>
      </c>
      <c r="F29" s="6" t="s">
        <v>60</v>
      </c>
      <c r="G29" s="13">
        <v>4800</v>
      </c>
      <c r="H29" s="13">
        <f t="shared" si="0"/>
        <v>80</v>
      </c>
      <c r="I29" s="6"/>
      <c r="J29" s="6" t="s">
        <v>91</v>
      </c>
      <c r="K29" s="20">
        <v>43480</v>
      </c>
      <c r="L29" s="6" t="s">
        <v>68</v>
      </c>
    </row>
    <row r="30" ht="12.75" spans="1:12">
      <c r="A30" s="6" t="s">
        <v>56</v>
      </c>
      <c r="B30" s="6" t="s">
        <v>69</v>
      </c>
      <c r="C30" s="6" t="s">
        <v>92</v>
      </c>
      <c r="D30" s="6"/>
      <c r="E30" s="13">
        <v>60</v>
      </c>
      <c r="F30" s="6" t="s">
        <v>60</v>
      </c>
      <c r="G30" s="13">
        <v>4800</v>
      </c>
      <c r="H30" s="13">
        <f t="shared" si="0"/>
        <v>80</v>
      </c>
      <c r="I30" s="6"/>
      <c r="J30" s="6" t="s">
        <v>91</v>
      </c>
      <c r="K30" s="20">
        <v>43480</v>
      </c>
      <c r="L30" s="6" t="s">
        <v>68</v>
      </c>
    </row>
    <row r="31" ht="12.75" spans="1:12">
      <c r="A31" s="6" t="s">
        <v>56</v>
      </c>
      <c r="B31" s="6" t="s">
        <v>69</v>
      </c>
      <c r="C31" s="6" t="s">
        <v>93</v>
      </c>
      <c r="D31" s="11"/>
      <c r="E31" s="6">
        <v>30</v>
      </c>
      <c r="F31" s="6" t="s">
        <v>60</v>
      </c>
      <c r="G31" s="6">
        <v>5082</v>
      </c>
      <c r="H31" s="14">
        <f t="shared" si="0"/>
        <v>169.4</v>
      </c>
      <c r="I31" s="11"/>
      <c r="J31" s="6" t="s">
        <v>70</v>
      </c>
      <c r="K31" s="24">
        <v>44063</v>
      </c>
      <c r="L31" s="11"/>
    </row>
    <row r="32" ht="12.75" spans="1:12">
      <c r="A32" s="6" t="s">
        <v>56</v>
      </c>
      <c r="B32" s="6" t="s">
        <v>57</v>
      </c>
      <c r="C32" s="6" t="s">
        <v>94</v>
      </c>
      <c r="D32" s="6"/>
      <c r="E32" s="13">
        <v>59.15</v>
      </c>
      <c r="F32" s="6" t="s">
        <v>60</v>
      </c>
      <c r="G32" s="13">
        <v>8299.85</v>
      </c>
      <c r="H32" s="13">
        <f t="shared" si="0"/>
        <v>140.318681318681</v>
      </c>
      <c r="I32" s="6"/>
      <c r="J32" s="6" t="s">
        <v>91</v>
      </c>
      <c r="K32" s="18">
        <v>43419</v>
      </c>
      <c r="L32" s="6" t="s">
        <v>62</v>
      </c>
    </row>
    <row r="33" ht="12.75" spans="1:12">
      <c r="A33" s="6" t="s">
        <v>56</v>
      </c>
      <c r="B33" s="6" t="s">
        <v>69</v>
      </c>
      <c r="C33" s="6" t="s">
        <v>94</v>
      </c>
      <c r="D33" s="6" t="s">
        <v>95</v>
      </c>
      <c r="E33" s="13">
        <v>60</v>
      </c>
      <c r="F33" s="6" t="s">
        <v>60</v>
      </c>
      <c r="G33" s="13">
        <v>7300</v>
      </c>
      <c r="H33" s="13">
        <f t="shared" si="0"/>
        <v>121.666666666667</v>
      </c>
      <c r="I33" s="6"/>
      <c r="J33" s="6" t="s">
        <v>91</v>
      </c>
      <c r="K33" s="20">
        <v>43502</v>
      </c>
      <c r="L33" s="6" t="s">
        <v>68</v>
      </c>
    </row>
    <row r="34" ht="12.75" spans="1:12">
      <c r="A34" s="6" t="s">
        <v>56</v>
      </c>
      <c r="B34" s="6" t="s">
        <v>69</v>
      </c>
      <c r="C34" s="6" t="s">
        <v>94</v>
      </c>
      <c r="D34" s="6" t="s">
        <v>95</v>
      </c>
      <c r="E34" s="13">
        <v>60</v>
      </c>
      <c r="F34" s="6" t="s">
        <v>60</v>
      </c>
      <c r="G34" s="13">
        <v>7300</v>
      </c>
      <c r="H34" s="13">
        <f t="shared" si="0"/>
        <v>121.666666666667</v>
      </c>
      <c r="I34" s="6"/>
      <c r="J34" s="6" t="s">
        <v>91</v>
      </c>
      <c r="K34" s="20">
        <v>43502</v>
      </c>
      <c r="L34" s="6" t="s">
        <v>68</v>
      </c>
    </row>
    <row r="35" ht="12.75" spans="1:12">
      <c r="A35" s="6" t="s">
        <v>56</v>
      </c>
      <c r="B35" s="6" t="s">
        <v>57</v>
      </c>
      <c r="C35" s="6" t="s">
        <v>94</v>
      </c>
      <c r="D35" s="11"/>
      <c r="E35" s="6">
        <v>120</v>
      </c>
      <c r="F35" s="6" t="s">
        <v>60</v>
      </c>
      <c r="G35" s="16">
        <f>(40.32+(40.32*0.13))*585</f>
        <v>26653.536</v>
      </c>
      <c r="H35" s="14">
        <f t="shared" si="0"/>
        <v>222.1128</v>
      </c>
      <c r="I35" s="11"/>
      <c r="J35" s="6" t="s">
        <v>70</v>
      </c>
      <c r="K35" s="26">
        <v>44047</v>
      </c>
      <c r="L35" s="11"/>
    </row>
    <row r="36" ht="12.75" spans="1:12">
      <c r="A36" s="6" t="s">
        <v>56</v>
      </c>
      <c r="B36" s="6" t="s">
        <v>57</v>
      </c>
      <c r="C36" s="6" t="s">
        <v>96</v>
      </c>
      <c r="D36" s="6" t="s">
        <v>97</v>
      </c>
      <c r="E36" s="13">
        <v>30</v>
      </c>
      <c r="F36" s="6" t="s">
        <v>60</v>
      </c>
      <c r="G36" s="13">
        <v>1785.6</v>
      </c>
      <c r="H36" s="13">
        <f t="shared" si="0"/>
        <v>59.52</v>
      </c>
      <c r="I36" s="6"/>
      <c r="J36" s="6" t="s">
        <v>85</v>
      </c>
      <c r="K36" s="20">
        <v>43168</v>
      </c>
      <c r="L36" s="6" t="s">
        <v>66</v>
      </c>
    </row>
    <row r="37" ht="12.75" spans="1:12">
      <c r="A37" s="6" t="s">
        <v>56</v>
      </c>
      <c r="B37" s="6" t="s">
        <v>57</v>
      </c>
      <c r="C37" s="6" t="s">
        <v>98</v>
      </c>
      <c r="D37" s="6" t="s">
        <v>83</v>
      </c>
      <c r="E37" s="13">
        <v>120</v>
      </c>
      <c r="F37" s="6" t="s">
        <v>60</v>
      </c>
      <c r="G37" s="13">
        <f>590*12.5</f>
        <v>7375</v>
      </c>
      <c r="H37" s="13">
        <f t="shared" si="0"/>
        <v>61.4583333333333</v>
      </c>
      <c r="I37" s="6" t="s">
        <v>83</v>
      </c>
      <c r="J37" s="6" t="s">
        <v>85</v>
      </c>
      <c r="K37" s="20">
        <v>43378</v>
      </c>
      <c r="L37" s="6" t="s">
        <v>62</v>
      </c>
    </row>
    <row r="38" ht="12.75" spans="1:12">
      <c r="A38" s="6" t="s">
        <v>56</v>
      </c>
      <c r="B38" s="6" t="s">
        <v>57</v>
      </c>
      <c r="C38" s="6" t="s">
        <v>98</v>
      </c>
      <c r="D38" s="11"/>
      <c r="E38" s="6">
        <v>120</v>
      </c>
      <c r="F38" s="6" t="s">
        <v>60</v>
      </c>
      <c r="G38" s="16">
        <f>(12.5+(12.5*0.13))*585</f>
        <v>8263.125</v>
      </c>
      <c r="H38" s="14">
        <f t="shared" si="0"/>
        <v>68.859375</v>
      </c>
      <c r="I38" s="11"/>
      <c r="J38" s="6" t="s">
        <v>70</v>
      </c>
      <c r="K38" s="26">
        <v>44047</v>
      </c>
      <c r="L38" s="11"/>
    </row>
    <row r="39" ht="12.75" spans="1:12">
      <c r="A39" s="6" t="s">
        <v>56</v>
      </c>
      <c r="B39" s="6" t="s">
        <v>57</v>
      </c>
      <c r="C39" s="6" t="s">
        <v>99</v>
      </c>
      <c r="D39" s="6" t="s">
        <v>83</v>
      </c>
      <c r="E39" s="13">
        <v>120</v>
      </c>
      <c r="F39" s="6" t="s">
        <v>60</v>
      </c>
      <c r="G39" s="13">
        <f>590*12.24</f>
        <v>7221.6</v>
      </c>
      <c r="H39" s="13">
        <f t="shared" si="0"/>
        <v>60.18</v>
      </c>
      <c r="I39" s="6" t="s">
        <v>83</v>
      </c>
      <c r="J39" s="6" t="s">
        <v>85</v>
      </c>
      <c r="K39" s="20">
        <v>43378</v>
      </c>
      <c r="L39" s="6" t="s">
        <v>62</v>
      </c>
    </row>
    <row r="40" ht="12.75" spans="1:12">
      <c r="A40" s="6" t="s">
        <v>56</v>
      </c>
      <c r="B40" s="6" t="s">
        <v>57</v>
      </c>
      <c r="C40" s="6" t="s">
        <v>99</v>
      </c>
      <c r="D40" s="6"/>
      <c r="E40" s="13">
        <v>120</v>
      </c>
      <c r="F40" s="6" t="s">
        <v>60</v>
      </c>
      <c r="G40" s="13">
        <f>12.5*611</f>
        <v>7637.5</v>
      </c>
      <c r="H40" s="13">
        <f t="shared" si="0"/>
        <v>63.6458333333333</v>
      </c>
      <c r="I40" s="6"/>
      <c r="J40" s="6" t="s">
        <v>85</v>
      </c>
      <c r="K40" s="20">
        <v>43479</v>
      </c>
      <c r="L40" s="6" t="s">
        <v>68</v>
      </c>
    </row>
    <row r="41" ht="12.75" spans="1:12">
      <c r="A41" s="6" t="s">
        <v>56</v>
      </c>
      <c r="B41" s="6" t="s">
        <v>57</v>
      </c>
      <c r="C41" s="6" t="s">
        <v>100</v>
      </c>
      <c r="D41" s="11"/>
      <c r="E41" s="6">
        <v>30</v>
      </c>
      <c r="F41" s="6" t="s">
        <v>60</v>
      </c>
      <c r="G41" s="16">
        <f>(8+(8*0.13))*585</f>
        <v>5288.4</v>
      </c>
      <c r="H41" s="14">
        <f t="shared" si="0"/>
        <v>176.28</v>
      </c>
      <c r="I41" s="11"/>
      <c r="J41" s="6" t="s">
        <v>70</v>
      </c>
      <c r="K41" s="26">
        <v>44047</v>
      </c>
      <c r="L41" s="11"/>
    </row>
    <row r="42" ht="12.75" spans="1:12">
      <c r="A42" s="6" t="s">
        <v>56</v>
      </c>
      <c r="B42" s="6" t="s">
        <v>57</v>
      </c>
      <c r="C42" s="6" t="s">
        <v>101</v>
      </c>
      <c r="D42" s="6" t="s">
        <v>83</v>
      </c>
      <c r="E42" s="13">
        <v>30</v>
      </c>
      <c r="F42" s="6" t="s">
        <v>60</v>
      </c>
      <c r="G42" s="15">
        <v>5011.2</v>
      </c>
      <c r="H42" s="13">
        <f t="shared" si="0"/>
        <v>167.04</v>
      </c>
      <c r="I42" s="6"/>
      <c r="J42" s="6" t="s">
        <v>85</v>
      </c>
      <c r="K42" s="20">
        <v>43104</v>
      </c>
      <c r="L42" s="6" t="s">
        <v>66</v>
      </c>
    </row>
    <row r="43" ht="12.75" spans="1:12">
      <c r="A43" s="6" t="s">
        <v>56</v>
      </c>
      <c r="B43" s="1" t="s">
        <v>57</v>
      </c>
      <c r="C43" s="1" t="s">
        <v>102</v>
      </c>
      <c r="D43" s="1"/>
      <c r="E43" s="7">
        <v>57.15</v>
      </c>
      <c r="F43" s="1" t="s">
        <v>60</v>
      </c>
      <c r="G43" s="7">
        <v>3451.32</v>
      </c>
      <c r="H43" s="7">
        <f t="shared" si="0"/>
        <v>60.3905511811024</v>
      </c>
      <c r="I43" s="1"/>
      <c r="J43" s="1" t="s">
        <v>91</v>
      </c>
      <c r="K43" s="9">
        <v>43383</v>
      </c>
      <c r="L43" s="1" t="s">
        <v>66</v>
      </c>
    </row>
    <row r="44" ht="12.75" spans="1:12">
      <c r="A44" s="6" t="s">
        <v>56</v>
      </c>
      <c r="B44" s="6" t="s">
        <v>57</v>
      </c>
      <c r="C44" s="6" t="s">
        <v>102</v>
      </c>
      <c r="D44" s="6"/>
      <c r="E44" s="13">
        <v>30</v>
      </c>
      <c r="F44" s="6" t="s">
        <v>60</v>
      </c>
      <c r="G44" s="13">
        <f>3.9*611</f>
        <v>2382.9</v>
      </c>
      <c r="H44" s="13">
        <f t="shared" si="0"/>
        <v>79.43</v>
      </c>
      <c r="I44" s="6"/>
      <c r="J44" s="6" t="s">
        <v>85</v>
      </c>
      <c r="K44" s="20">
        <v>43479</v>
      </c>
      <c r="L44" s="6" t="s">
        <v>68</v>
      </c>
    </row>
    <row r="45" ht="12.75" spans="1:12">
      <c r="A45" s="6" t="s">
        <v>56</v>
      </c>
      <c r="B45" s="6" t="s">
        <v>69</v>
      </c>
      <c r="C45" s="6" t="s">
        <v>102</v>
      </c>
      <c r="D45" s="6"/>
      <c r="E45" s="13">
        <v>60</v>
      </c>
      <c r="F45" s="6" t="s">
        <v>60</v>
      </c>
      <c r="G45" s="13">
        <v>3900</v>
      </c>
      <c r="H45" s="13">
        <f t="shared" si="0"/>
        <v>65</v>
      </c>
      <c r="I45" s="6"/>
      <c r="J45" s="6" t="s">
        <v>91</v>
      </c>
      <c r="K45" s="20">
        <v>43480</v>
      </c>
      <c r="L45" s="6" t="s">
        <v>68</v>
      </c>
    </row>
    <row r="46" ht="12.75" spans="1:12">
      <c r="A46" s="6" t="s">
        <v>56</v>
      </c>
      <c r="B46" s="6" t="s">
        <v>69</v>
      </c>
      <c r="C46" s="6" t="s">
        <v>102</v>
      </c>
      <c r="D46" s="6"/>
      <c r="E46" s="13">
        <v>60</v>
      </c>
      <c r="F46" s="6" t="s">
        <v>60</v>
      </c>
      <c r="G46" s="13">
        <v>3900</v>
      </c>
      <c r="H46" s="13">
        <f t="shared" si="0"/>
        <v>65</v>
      </c>
      <c r="I46" s="6"/>
      <c r="J46" s="6" t="s">
        <v>91</v>
      </c>
      <c r="K46" s="20">
        <v>43480</v>
      </c>
      <c r="L46" s="6" t="s">
        <v>68</v>
      </c>
    </row>
    <row r="47" ht="12.75" spans="1:12">
      <c r="A47" s="6" t="s">
        <v>56</v>
      </c>
      <c r="B47" s="6" t="s">
        <v>103</v>
      </c>
      <c r="C47" s="6" t="s">
        <v>104</v>
      </c>
      <c r="D47" s="6" t="s">
        <v>83</v>
      </c>
      <c r="E47" s="13">
        <v>1000</v>
      </c>
      <c r="F47" s="6" t="s">
        <v>60</v>
      </c>
      <c r="G47" s="15">
        <f>1.3*576</f>
        <v>748.8</v>
      </c>
      <c r="H47" s="13">
        <f t="shared" si="0"/>
        <v>0.7488</v>
      </c>
      <c r="I47" s="6"/>
      <c r="J47" s="6" t="s">
        <v>85</v>
      </c>
      <c r="K47" s="20">
        <v>43104</v>
      </c>
      <c r="L47" s="6" t="s">
        <v>66</v>
      </c>
    </row>
    <row r="48" ht="12.75" spans="1:12">
      <c r="A48" s="6" t="s">
        <v>56</v>
      </c>
      <c r="B48" s="6" t="s">
        <v>103</v>
      </c>
      <c r="C48" s="6" t="s">
        <v>104</v>
      </c>
      <c r="D48" s="6"/>
      <c r="E48" s="13">
        <v>3785</v>
      </c>
      <c r="F48" s="6" t="s">
        <v>60</v>
      </c>
      <c r="G48" s="13">
        <f>2600</f>
        <v>2600</v>
      </c>
      <c r="H48" s="13">
        <f t="shared" si="0"/>
        <v>0.686922060766182</v>
      </c>
      <c r="I48" s="6"/>
      <c r="J48" s="6" t="s">
        <v>85</v>
      </c>
      <c r="K48" s="20">
        <v>43479</v>
      </c>
      <c r="L48" s="6" t="s">
        <v>68</v>
      </c>
    </row>
    <row r="49" ht="12.75" spans="1:12">
      <c r="A49" s="6" t="s">
        <v>56</v>
      </c>
      <c r="B49" s="6" t="s">
        <v>103</v>
      </c>
      <c r="C49" s="6" t="s">
        <v>104</v>
      </c>
      <c r="D49" s="6"/>
      <c r="E49" s="13">
        <v>3785</v>
      </c>
      <c r="F49" s="6" t="s">
        <v>60</v>
      </c>
      <c r="G49" s="13">
        <f>2600</f>
        <v>2600</v>
      </c>
      <c r="H49" s="13">
        <f t="shared" si="0"/>
        <v>0.686922060766182</v>
      </c>
      <c r="I49" s="11"/>
      <c r="J49" s="6" t="s">
        <v>85</v>
      </c>
      <c r="K49" s="20">
        <v>43479</v>
      </c>
      <c r="L49" s="6" t="s">
        <v>68</v>
      </c>
    </row>
    <row r="50" ht="12.75" spans="1:12">
      <c r="A50" s="6" t="s">
        <v>105</v>
      </c>
      <c r="B50" s="6" t="s">
        <v>106</v>
      </c>
      <c r="C50" s="6" t="s">
        <v>107</v>
      </c>
      <c r="D50" s="6" t="s">
        <v>108</v>
      </c>
      <c r="E50" s="13">
        <v>500</v>
      </c>
      <c r="F50" s="6" t="s">
        <v>109</v>
      </c>
      <c r="G50" s="15">
        <v>1114</v>
      </c>
      <c r="H50" s="13">
        <f t="shared" si="0"/>
        <v>2.228</v>
      </c>
      <c r="I50" s="6"/>
      <c r="J50" s="6" t="s">
        <v>110</v>
      </c>
      <c r="K50" s="18">
        <v>43095</v>
      </c>
      <c r="L50" s="6" t="s">
        <v>62</v>
      </c>
    </row>
    <row r="51" ht="12.75" spans="1:12">
      <c r="A51" s="6" t="s">
        <v>56</v>
      </c>
      <c r="B51" s="6" t="s">
        <v>111</v>
      </c>
      <c r="C51" s="6" t="s">
        <v>112</v>
      </c>
      <c r="D51" s="6" t="s">
        <v>83</v>
      </c>
      <c r="E51" s="13">
        <v>1000</v>
      </c>
      <c r="F51" s="6" t="s">
        <v>84</v>
      </c>
      <c r="G51" s="13">
        <f>12.6*590</f>
        <v>7434</v>
      </c>
      <c r="H51" s="13">
        <f t="shared" si="0"/>
        <v>7.434</v>
      </c>
      <c r="I51" s="6"/>
      <c r="J51" s="6" t="s">
        <v>85</v>
      </c>
      <c r="K51" s="20">
        <v>43353</v>
      </c>
      <c r="L51" s="6" t="s">
        <v>62</v>
      </c>
    </row>
    <row r="52" ht="12.75" spans="1:12">
      <c r="A52" s="6" t="s">
        <v>113</v>
      </c>
      <c r="B52" s="6" t="s">
        <v>114</v>
      </c>
      <c r="C52" s="6" t="s">
        <v>115</v>
      </c>
      <c r="D52" s="6" t="s">
        <v>116</v>
      </c>
      <c r="E52" s="13">
        <v>50</v>
      </c>
      <c r="F52" s="6" t="s">
        <v>84</v>
      </c>
      <c r="G52" s="15">
        <v>700</v>
      </c>
      <c r="H52" s="13">
        <f t="shared" si="0"/>
        <v>14</v>
      </c>
      <c r="I52" s="6"/>
      <c r="J52" s="6" t="s">
        <v>73</v>
      </c>
      <c r="K52" s="18">
        <v>43095</v>
      </c>
      <c r="L52" s="6" t="s">
        <v>62</v>
      </c>
    </row>
    <row r="53" ht="12.75" spans="1:12">
      <c r="A53" s="6" t="s">
        <v>56</v>
      </c>
      <c r="B53" s="6" t="s">
        <v>111</v>
      </c>
      <c r="C53" s="12" t="s">
        <v>115</v>
      </c>
      <c r="D53" s="6"/>
      <c r="E53" s="13">
        <v>200</v>
      </c>
      <c r="F53" s="6" t="s">
        <v>84</v>
      </c>
      <c r="G53" s="13">
        <v>3200</v>
      </c>
      <c r="H53" s="13">
        <f t="shared" si="0"/>
        <v>16</v>
      </c>
      <c r="I53" s="6"/>
      <c r="J53" s="6" t="s">
        <v>73</v>
      </c>
      <c r="K53" s="18">
        <v>43451</v>
      </c>
      <c r="L53" s="6" t="s">
        <v>68</v>
      </c>
    </row>
    <row r="54" ht="12.75" spans="1:12">
      <c r="A54" s="6" t="s">
        <v>56</v>
      </c>
      <c r="B54" s="6" t="s">
        <v>57</v>
      </c>
      <c r="C54" s="6" t="s">
        <v>117</v>
      </c>
      <c r="D54" s="6" t="s">
        <v>118</v>
      </c>
      <c r="E54" s="13">
        <v>250</v>
      </c>
      <c r="F54" s="6" t="s">
        <v>84</v>
      </c>
      <c r="G54" s="13">
        <v>2270</v>
      </c>
      <c r="H54" s="13">
        <f t="shared" si="0"/>
        <v>9.08</v>
      </c>
      <c r="I54" s="27">
        <v>43452</v>
      </c>
      <c r="J54" s="6" t="s">
        <v>73</v>
      </c>
      <c r="K54" s="20">
        <v>43367</v>
      </c>
      <c r="L54" s="6" t="s">
        <v>62</v>
      </c>
    </row>
    <row r="55" ht="12.75" spans="1:12">
      <c r="A55" s="6" t="s">
        <v>56</v>
      </c>
      <c r="B55" s="6" t="s">
        <v>111</v>
      </c>
      <c r="C55" s="6" t="s">
        <v>119</v>
      </c>
      <c r="D55" s="6" t="s">
        <v>120</v>
      </c>
      <c r="E55" s="13">
        <v>2000</v>
      </c>
      <c r="F55" s="6" t="s">
        <v>84</v>
      </c>
      <c r="G55" s="13">
        <v>1935.36</v>
      </c>
      <c r="H55" s="13">
        <f t="shared" si="0"/>
        <v>0.96768</v>
      </c>
      <c r="I55" s="19">
        <v>43647</v>
      </c>
      <c r="J55" s="6" t="s">
        <v>85</v>
      </c>
      <c r="K55" s="20">
        <v>43168</v>
      </c>
      <c r="L55" s="6" t="s">
        <v>66</v>
      </c>
    </row>
    <row r="56" ht="12.75" spans="1:12">
      <c r="A56" s="6" t="s">
        <v>56</v>
      </c>
      <c r="B56" s="6" t="s">
        <v>111</v>
      </c>
      <c r="C56" s="6" t="s">
        <v>119</v>
      </c>
      <c r="D56" s="6" t="s">
        <v>120</v>
      </c>
      <c r="E56" s="13">
        <v>2000</v>
      </c>
      <c r="F56" s="6" t="s">
        <v>84</v>
      </c>
      <c r="G56" s="13">
        <f>3.36*590</f>
        <v>1982.4</v>
      </c>
      <c r="H56" s="13">
        <f t="shared" si="0"/>
        <v>0.9912</v>
      </c>
      <c r="I56" s="6"/>
      <c r="J56" s="6" t="s">
        <v>85</v>
      </c>
      <c r="K56" s="20">
        <v>43353</v>
      </c>
      <c r="L56" s="6" t="s">
        <v>62</v>
      </c>
    </row>
    <row r="57" ht="12.75" spans="1:12">
      <c r="A57" s="6" t="s">
        <v>56</v>
      </c>
      <c r="B57" s="6" t="s">
        <v>111</v>
      </c>
      <c r="C57" s="6" t="s">
        <v>119</v>
      </c>
      <c r="D57" s="11"/>
      <c r="E57" s="6">
        <v>2500</v>
      </c>
      <c r="F57" s="6" t="s">
        <v>84</v>
      </c>
      <c r="G57" s="6">
        <v>1894.22</v>
      </c>
      <c r="H57" s="14">
        <f t="shared" si="0"/>
        <v>0.757688</v>
      </c>
      <c r="I57" s="11"/>
      <c r="J57" s="6" t="s">
        <v>121</v>
      </c>
      <c r="K57" s="24">
        <v>44047</v>
      </c>
      <c r="L57" s="11"/>
    </row>
    <row r="58" ht="12.75" spans="1:12">
      <c r="A58" s="6" t="s">
        <v>122</v>
      </c>
      <c r="B58" s="6" t="s">
        <v>123</v>
      </c>
      <c r="C58" s="6" t="s">
        <v>124</v>
      </c>
      <c r="D58" s="6" t="s">
        <v>125</v>
      </c>
      <c r="E58" s="13">
        <v>15</v>
      </c>
      <c r="F58" s="6" t="s">
        <v>126</v>
      </c>
      <c r="G58" s="13">
        <v>6000</v>
      </c>
      <c r="H58" s="13">
        <f t="shared" si="0"/>
        <v>400</v>
      </c>
      <c r="I58" s="6" t="s">
        <v>83</v>
      </c>
      <c r="J58" s="6" t="s">
        <v>127</v>
      </c>
      <c r="K58" s="18">
        <v>43453</v>
      </c>
      <c r="L58" s="6" t="s">
        <v>66</v>
      </c>
    </row>
    <row r="59" ht="12.75" spans="1:12">
      <c r="A59" s="6" t="s">
        <v>56</v>
      </c>
      <c r="B59" s="6" t="s">
        <v>57</v>
      </c>
      <c r="C59" s="6" t="s">
        <v>128</v>
      </c>
      <c r="D59" s="6" t="s">
        <v>129</v>
      </c>
      <c r="E59" s="13">
        <v>94</v>
      </c>
      <c r="F59" s="6" t="s">
        <v>84</v>
      </c>
      <c r="G59" s="13">
        <v>1300</v>
      </c>
      <c r="H59" s="13">
        <f t="shared" si="0"/>
        <v>13.8297872340426</v>
      </c>
      <c r="I59" s="6" t="s">
        <v>130</v>
      </c>
      <c r="J59" s="6" t="s">
        <v>131</v>
      </c>
      <c r="K59" s="6" t="s">
        <v>130</v>
      </c>
      <c r="L59" s="6" t="s">
        <v>62</v>
      </c>
    </row>
    <row r="60" ht="12.75" spans="1:12">
      <c r="A60" s="6" t="s">
        <v>33</v>
      </c>
      <c r="B60" s="6" t="s">
        <v>132</v>
      </c>
      <c r="C60" s="6" t="s">
        <v>133</v>
      </c>
      <c r="D60" s="6" t="s">
        <v>134</v>
      </c>
      <c r="E60" s="6">
        <v>20</v>
      </c>
      <c r="F60" s="6" t="s">
        <v>126</v>
      </c>
      <c r="G60" s="6">
        <v>16000</v>
      </c>
      <c r="H60" s="6">
        <v>800</v>
      </c>
      <c r="I60" s="11"/>
      <c r="J60" s="6" t="s">
        <v>135</v>
      </c>
      <c r="K60" s="24">
        <v>43750</v>
      </c>
      <c r="L60" s="6" t="s">
        <v>68</v>
      </c>
    </row>
    <row r="61" ht="12.75" spans="1:12">
      <c r="A61" s="6" t="s">
        <v>56</v>
      </c>
      <c r="B61" s="6" t="s">
        <v>69</v>
      </c>
      <c r="C61" s="6" t="s">
        <v>136</v>
      </c>
      <c r="D61" s="6"/>
      <c r="E61" s="13">
        <v>454</v>
      </c>
      <c r="F61" s="6" t="s">
        <v>84</v>
      </c>
      <c r="G61" s="13">
        <v>5300</v>
      </c>
      <c r="H61" s="13">
        <f>G61/E61</f>
        <v>11.6740088105727</v>
      </c>
      <c r="I61" s="6"/>
      <c r="J61" s="6" t="s">
        <v>91</v>
      </c>
      <c r="K61" s="20">
        <v>43480</v>
      </c>
      <c r="L61" s="6" t="s">
        <v>68</v>
      </c>
    </row>
    <row r="62" ht="12.75" spans="1:12">
      <c r="A62" s="6" t="s">
        <v>56</v>
      </c>
      <c r="B62" s="6" t="s">
        <v>137</v>
      </c>
      <c r="C62" s="6" t="s">
        <v>136</v>
      </c>
      <c r="D62" s="6" t="s">
        <v>138</v>
      </c>
      <c r="E62" s="13">
        <v>20</v>
      </c>
      <c r="F62" s="6" t="s">
        <v>84</v>
      </c>
      <c r="G62" s="13">
        <v>148</v>
      </c>
      <c r="H62" s="13">
        <f>G62/E62</f>
        <v>7.4</v>
      </c>
      <c r="I62" s="6" t="s">
        <v>130</v>
      </c>
      <c r="J62" s="6" t="s">
        <v>73</v>
      </c>
      <c r="K62" s="6" t="s">
        <v>130</v>
      </c>
      <c r="L62" s="6" t="s">
        <v>62</v>
      </c>
    </row>
    <row r="63" ht="12.75" spans="1:12">
      <c r="A63" s="6" t="s">
        <v>56</v>
      </c>
      <c r="B63" s="6" t="s">
        <v>57</v>
      </c>
      <c r="C63" s="6" t="s">
        <v>139</v>
      </c>
      <c r="D63" s="6" t="s">
        <v>140</v>
      </c>
      <c r="E63" s="13">
        <v>1000</v>
      </c>
      <c r="F63" s="6" t="s">
        <v>84</v>
      </c>
      <c r="G63" s="13">
        <v>7400</v>
      </c>
      <c r="H63" s="13">
        <f>G63/E63</f>
        <v>7.4</v>
      </c>
      <c r="I63" s="10">
        <v>44443</v>
      </c>
      <c r="J63" s="6" t="s">
        <v>127</v>
      </c>
      <c r="K63" s="18">
        <v>43453</v>
      </c>
      <c r="L63" s="6" t="s">
        <v>68</v>
      </c>
    </row>
    <row r="64" ht="12.75" spans="1:12">
      <c r="A64" s="6" t="s">
        <v>122</v>
      </c>
      <c r="B64" s="6" t="s">
        <v>141</v>
      </c>
      <c r="C64" s="6" t="s">
        <v>142</v>
      </c>
      <c r="D64" s="6" t="s">
        <v>143</v>
      </c>
      <c r="E64" s="13">
        <v>3</v>
      </c>
      <c r="F64" s="6" t="s">
        <v>144</v>
      </c>
      <c r="G64" s="13">
        <v>2555</v>
      </c>
      <c r="H64" s="6"/>
      <c r="I64" s="1"/>
      <c r="J64" s="6"/>
      <c r="K64" s="18">
        <v>43816</v>
      </c>
      <c r="L64" s="6" t="s">
        <v>62</v>
      </c>
    </row>
    <row r="65" ht="12.75" spans="1:12">
      <c r="A65" s="6" t="s">
        <v>122</v>
      </c>
      <c r="B65" s="6" t="s">
        <v>145</v>
      </c>
      <c r="C65" s="6" t="s">
        <v>146</v>
      </c>
      <c r="D65" s="6" t="s">
        <v>147</v>
      </c>
      <c r="E65" s="13">
        <v>10</v>
      </c>
      <c r="F65" s="6"/>
      <c r="G65" s="13">
        <v>6813.9</v>
      </c>
      <c r="H65" s="13">
        <f t="shared" ref="H65:H71" si="1">G65/E65</f>
        <v>681.39</v>
      </c>
      <c r="I65" s="6"/>
      <c r="J65" s="6" t="s">
        <v>148</v>
      </c>
      <c r="K65" s="20">
        <v>43168</v>
      </c>
      <c r="L65" s="6" t="s">
        <v>66</v>
      </c>
    </row>
    <row r="66" ht="12.75" spans="1:12">
      <c r="A66" s="6" t="s">
        <v>122</v>
      </c>
      <c r="B66" s="6" t="s">
        <v>145</v>
      </c>
      <c r="C66" s="6" t="s">
        <v>146</v>
      </c>
      <c r="D66" s="6" t="s">
        <v>147</v>
      </c>
      <c r="E66" s="13">
        <v>12</v>
      </c>
      <c r="F66" s="6"/>
      <c r="G66" s="13">
        <v>8176.68</v>
      </c>
      <c r="H66" s="13">
        <f t="shared" si="1"/>
        <v>681.39</v>
      </c>
      <c r="I66" s="6"/>
      <c r="J66" s="6" t="s">
        <v>148</v>
      </c>
      <c r="K66" s="20">
        <v>43175</v>
      </c>
      <c r="L66" s="6" t="s">
        <v>66</v>
      </c>
    </row>
    <row r="67" ht="12.75" spans="1:12">
      <c r="A67" s="6" t="s">
        <v>122</v>
      </c>
      <c r="B67" s="6" t="s">
        <v>149</v>
      </c>
      <c r="C67" s="6" t="s">
        <v>146</v>
      </c>
      <c r="D67" s="6" t="s">
        <v>147</v>
      </c>
      <c r="E67" s="13">
        <v>10</v>
      </c>
      <c r="F67" s="6" t="s">
        <v>126</v>
      </c>
      <c r="G67" s="13">
        <v>6820.68</v>
      </c>
      <c r="H67" s="13">
        <f t="shared" si="1"/>
        <v>682.068</v>
      </c>
      <c r="I67" s="6"/>
      <c r="J67" s="6" t="s">
        <v>148</v>
      </c>
      <c r="K67" s="20">
        <v>43297</v>
      </c>
      <c r="L67" s="6" t="s">
        <v>66</v>
      </c>
    </row>
    <row r="68" ht="12.75" spans="1:12">
      <c r="A68" s="6" t="s">
        <v>122</v>
      </c>
      <c r="B68" s="6" t="s">
        <v>150</v>
      </c>
      <c r="C68" s="6" t="s">
        <v>151</v>
      </c>
      <c r="D68" s="6" t="s">
        <v>152</v>
      </c>
      <c r="E68" s="13">
        <v>260</v>
      </c>
      <c r="F68" s="6" t="s">
        <v>153</v>
      </c>
      <c r="G68" s="15">
        <v>195</v>
      </c>
      <c r="H68" s="13">
        <f t="shared" si="1"/>
        <v>0.75</v>
      </c>
      <c r="I68" s="6"/>
      <c r="J68" s="6" t="s">
        <v>154</v>
      </c>
      <c r="K68" s="6"/>
      <c r="L68" s="6" t="s">
        <v>62</v>
      </c>
    </row>
    <row r="69" ht="12.75" spans="1:12">
      <c r="A69" s="6" t="s">
        <v>56</v>
      </c>
      <c r="B69" s="6" t="s">
        <v>57</v>
      </c>
      <c r="C69" s="6" t="s">
        <v>155</v>
      </c>
      <c r="D69" s="6" t="s">
        <v>156</v>
      </c>
      <c r="E69" s="13">
        <v>90</v>
      </c>
      <c r="F69" s="6" t="s">
        <v>84</v>
      </c>
      <c r="G69" s="13">
        <v>1000</v>
      </c>
      <c r="H69" s="13">
        <f t="shared" si="1"/>
        <v>11.1111111111111</v>
      </c>
      <c r="I69" s="6" t="s">
        <v>130</v>
      </c>
      <c r="J69" s="6" t="s">
        <v>131</v>
      </c>
      <c r="K69" s="6" t="s">
        <v>130</v>
      </c>
      <c r="L69" s="6" t="s">
        <v>62</v>
      </c>
    </row>
    <row r="70" ht="12.75" spans="1:12">
      <c r="A70" s="6" t="s">
        <v>122</v>
      </c>
      <c r="B70" s="6" t="s">
        <v>149</v>
      </c>
      <c r="C70" s="6" t="s">
        <v>157</v>
      </c>
      <c r="D70" s="6" t="s">
        <v>158</v>
      </c>
      <c r="E70" s="13">
        <v>15</v>
      </c>
      <c r="F70" s="6" t="s">
        <v>126</v>
      </c>
      <c r="G70" s="13">
        <v>4866.34</v>
      </c>
      <c r="H70" s="13">
        <f t="shared" si="1"/>
        <v>324.422666666667</v>
      </c>
      <c r="I70" s="6" t="s">
        <v>83</v>
      </c>
      <c r="J70" s="6" t="s">
        <v>148</v>
      </c>
      <c r="K70" s="20">
        <v>43336</v>
      </c>
      <c r="L70" s="6" t="s">
        <v>66</v>
      </c>
    </row>
    <row r="71" ht="12.75" spans="1:12">
      <c r="A71" s="6" t="s">
        <v>122</v>
      </c>
      <c r="B71" s="6" t="s">
        <v>145</v>
      </c>
      <c r="C71" s="6" t="s">
        <v>157</v>
      </c>
      <c r="D71" s="6" t="s">
        <v>158</v>
      </c>
      <c r="E71" s="13">
        <v>100</v>
      </c>
      <c r="F71" s="6" t="s">
        <v>126</v>
      </c>
      <c r="G71" s="13">
        <v>32442</v>
      </c>
      <c r="H71" s="13">
        <f t="shared" si="1"/>
        <v>324.42</v>
      </c>
      <c r="I71" s="6"/>
      <c r="J71" s="6" t="s">
        <v>148</v>
      </c>
      <c r="K71" s="20">
        <v>43353</v>
      </c>
      <c r="L71" s="6" t="s">
        <v>62</v>
      </c>
    </row>
    <row r="72" ht="12.75" spans="1:12">
      <c r="A72" s="6" t="s">
        <v>122</v>
      </c>
      <c r="B72" s="6" t="s">
        <v>145</v>
      </c>
      <c r="C72" s="6" t="s">
        <v>157</v>
      </c>
      <c r="D72" s="6" t="s">
        <v>159</v>
      </c>
      <c r="E72" s="6">
        <v>8</v>
      </c>
      <c r="F72" s="6" t="s">
        <v>126</v>
      </c>
      <c r="G72" s="6">
        <v>6400</v>
      </c>
      <c r="H72" s="6">
        <v>800</v>
      </c>
      <c r="I72" s="11"/>
      <c r="J72" s="6" t="s">
        <v>135</v>
      </c>
      <c r="K72" s="24">
        <v>43750</v>
      </c>
      <c r="L72" s="6" t="s">
        <v>68</v>
      </c>
    </row>
    <row r="73" ht="12.75" spans="1:12">
      <c r="A73" s="6" t="s">
        <v>122</v>
      </c>
      <c r="B73" s="6" t="s">
        <v>149</v>
      </c>
      <c r="C73" s="6" t="s">
        <v>157</v>
      </c>
      <c r="D73" s="6" t="s">
        <v>160</v>
      </c>
      <c r="E73" s="6">
        <v>100</v>
      </c>
      <c r="F73" s="6" t="s">
        <v>126</v>
      </c>
      <c r="G73" s="6">
        <v>20000</v>
      </c>
      <c r="H73" s="6">
        <v>200</v>
      </c>
      <c r="I73" s="11"/>
      <c r="J73" s="6" t="s">
        <v>135</v>
      </c>
      <c r="K73" s="24">
        <v>43750</v>
      </c>
      <c r="L73" s="6" t="s">
        <v>68</v>
      </c>
    </row>
    <row r="74" spans="1:12">
      <c r="A74" s="6" t="s">
        <v>161</v>
      </c>
      <c r="B74" s="6" t="s">
        <v>162</v>
      </c>
      <c r="C74" s="6" t="s">
        <v>163</v>
      </c>
      <c r="D74" s="6" t="s">
        <v>164</v>
      </c>
      <c r="E74" s="13">
        <v>1</v>
      </c>
      <c r="F74" s="6"/>
      <c r="G74" s="13">
        <v>4740</v>
      </c>
      <c r="H74" s="6"/>
      <c r="I74" s="6"/>
      <c r="J74" s="6" t="s">
        <v>165</v>
      </c>
      <c r="K74" s="20">
        <v>43353</v>
      </c>
      <c r="L74" s="6" t="s">
        <v>68</v>
      </c>
    </row>
    <row r="75" spans="1:12">
      <c r="A75" s="6" t="s">
        <v>122</v>
      </c>
      <c r="B75" s="6" t="s">
        <v>123</v>
      </c>
      <c r="C75" s="6" t="s">
        <v>166</v>
      </c>
      <c r="D75" s="6" t="s">
        <v>167</v>
      </c>
      <c r="E75" s="6"/>
      <c r="F75" s="6"/>
      <c r="G75" s="13">
        <v>3250</v>
      </c>
      <c r="H75" s="6"/>
      <c r="I75" s="6"/>
      <c r="J75" s="6" t="s">
        <v>168</v>
      </c>
      <c r="K75" s="18">
        <v>43820</v>
      </c>
      <c r="L75" s="6" t="s">
        <v>62</v>
      </c>
    </row>
    <row r="76" ht="12.75" spans="1:12">
      <c r="A76" s="6" t="s">
        <v>56</v>
      </c>
      <c r="B76" s="6" t="s">
        <v>57</v>
      </c>
      <c r="C76" s="6" t="s">
        <v>169</v>
      </c>
      <c r="D76" s="6" t="s">
        <v>170</v>
      </c>
      <c r="E76" s="13">
        <v>380</v>
      </c>
      <c r="F76" s="6" t="s">
        <v>84</v>
      </c>
      <c r="G76" s="13">
        <v>1495</v>
      </c>
      <c r="H76" s="13">
        <f>G76/E76</f>
        <v>3.93421052631579</v>
      </c>
      <c r="I76" s="18">
        <v>43769</v>
      </c>
      <c r="J76" s="6" t="s">
        <v>171</v>
      </c>
      <c r="K76" s="20">
        <v>43169</v>
      </c>
      <c r="L76" s="6" t="s">
        <v>66</v>
      </c>
    </row>
    <row r="77" ht="12.75" spans="1:12">
      <c r="A77" s="6" t="s">
        <v>56</v>
      </c>
      <c r="B77" s="6" t="s">
        <v>57</v>
      </c>
      <c r="C77" s="6" t="s">
        <v>169</v>
      </c>
      <c r="D77" s="6" t="s">
        <v>172</v>
      </c>
      <c r="E77" s="13">
        <v>2300</v>
      </c>
      <c r="F77" s="6" t="s">
        <v>84</v>
      </c>
      <c r="G77" s="13">
        <f>1695+127.85</f>
        <v>1822.85</v>
      </c>
      <c r="H77" s="13">
        <f>G77/E77</f>
        <v>0.79254347826087</v>
      </c>
      <c r="I77" s="6"/>
      <c r="J77" s="6" t="s">
        <v>121</v>
      </c>
      <c r="K77" s="20">
        <v>43353</v>
      </c>
      <c r="L77" s="6" t="s">
        <v>62</v>
      </c>
    </row>
    <row r="78" ht="12.75" spans="1:12">
      <c r="A78" s="6" t="s">
        <v>56</v>
      </c>
      <c r="B78" s="6" t="s">
        <v>69</v>
      </c>
      <c r="C78" s="6" t="s">
        <v>169</v>
      </c>
      <c r="D78" s="6" t="s">
        <v>173</v>
      </c>
      <c r="E78" s="6">
        <v>2300</v>
      </c>
      <c r="F78" s="6" t="s">
        <v>84</v>
      </c>
      <c r="G78" s="6">
        <v>1932.8</v>
      </c>
      <c r="H78" s="14">
        <f>G78/E78</f>
        <v>0.840347826086956</v>
      </c>
      <c r="I78" s="11"/>
      <c r="J78" s="6" t="s">
        <v>121</v>
      </c>
      <c r="K78" s="24">
        <v>44047</v>
      </c>
      <c r="L78" s="11"/>
    </row>
    <row r="79" ht="12.75" spans="1:12">
      <c r="A79" s="6" t="s">
        <v>161</v>
      </c>
      <c r="B79" s="6" t="s">
        <v>174</v>
      </c>
      <c r="C79" s="6" t="s">
        <v>175</v>
      </c>
      <c r="D79" s="6" t="s">
        <v>176</v>
      </c>
      <c r="E79" s="13">
        <v>120</v>
      </c>
      <c r="F79" s="6" t="s">
        <v>126</v>
      </c>
      <c r="G79" s="6" t="s">
        <v>83</v>
      </c>
      <c r="H79" s="6" t="s">
        <v>83</v>
      </c>
      <c r="I79" s="6" t="s">
        <v>83</v>
      </c>
      <c r="J79" s="6" t="s">
        <v>177</v>
      </c>
      <c r="K79" s="6" t="s">
        <v>83</v>
      </c>
      <c r="L79" s="6" t="s">
        <v>62</v>
      </c>
    </row>
    <row r="80" ht="12.75" spans="1:12">
      <c r="A80" s="6" t="s">
        <v>56</v>
      </c>
      <c r="B80" s="6" t="s">
        <v>178</v>
      </c>
      <c r="C80" s="6" t="s">
        <v>179</v>
      </c>
      <c r="D80" s="28">
        <v>0.99</v>
      </c>
      <c r="E80" s="13">
        <v>1000</v>
      </c>
      <c r="F80" s="6" t="s">
        <v>84</v>
      </c>
      <c r="G80" s="15">
        <f>3.45*576</f>
        <v>1987.2</v>
      </c>
      <c r="H80" s="13">
        <f t="shared" ref="H80:H91" si="2">G80/E80</f>
        <v>1.9872</v>
      </c>
      <c r="I80" s="30">
        <v>43739</v>
      </c>
      <c r="J80" s="6" t="s">
        <v>85</v>
      </c>
      <c r="K80" s="20">
        <v>43104</v>
      </c>
      <c r="L80" s="6" t="s">
        <v>66</v>
      </c>
    </row>
    <row r="81" ht="12.75" spans="1:12">
      <c r="A81" s="6" t="s">
        <v>56</v>
      </c>
      <c r="B81" s="6" t="s">
        <v>111</v>
      </c>
      <c r="C81" s="6" t="s">
        <v>179</v>
      </c>
      <c r="D81" s="6" t="s">
        <v>180</v>
      </c>
      <c r="E81" s="13">
        <v>1000</v>
      </c>
      <c r="F81" s="6" t="s">
        <v>84</v>
      </c>
      <c r="G81" s="13">
        <f>3.45*611</f>
        <v>2107.95</v>
      </c>
      <c r="H81" s="13">
        <f t="shared" si="2"/>
        <v>2.10795</v>
      </c>
      <c r="I81" s="1"/>
      <c r="J81" s="6" t="s">
        <v>85</v>
      </c>
      <c r="K81" s="20">
        <v>43479</v>
      </c>
      <c r="L81" s="6" t="s">
        <v>68</v>
      </c>
    </row>
    <row r="82" ht="12.75" spans="1:12">
      <c r="A82" s="6" t="s">
        <v>56</v>
      </c>
      <c r="B82" s="6" t="s">
        <v>111</v>
      </c>
      <c r="C82" s="6" t="s">
        <v>179</v>
      </c>
      <c r="D82" s="6" t="s">
        <v>180</v>
      </c>
      <c r="E82" s="13">
        <v>1000</v>
      </c>
      <c r="F82" s="6" t="s">
        <v>84</v>
      </c>
      <c r="G82" s="13">
        <f>3.45*611</f>
        <v>2107.95</v>
      </c>
      <c r="H82" s="13">
        <f t="shared" si="2"/>
        <v>2.10795</v>
      </c>
      <c r="J82" s="6" t="s">
        <v>85</v>
      </c>
      <c r="K82" s="20">
        <v>43479</v>
      </c>
      <c r="L82" s="6" t="s">
        <v>68</v>
      </c>
    </row>
    <row r="83" ht="12.75" spans="1:12">
      <c r="A83" s="6" t="s">
        <v>56</v>
      </c>
      <c r="B83" s="6" t="s">
        <v>111</v>
      </c>
      <c r="C83" s="6" t="s">
        <v>179</v>
      </c>
      <c r="D83" s="6" t="s">
        <v>180</v>
      </c>
      <c r="E83" s="13">
        <v>1000</v>
      </c>
      <c r="F83" s="6" t="s">
        <v>84</v>
      </c>
      <c r="G83" s="6">
        <v>2280.62</v>
      </c>
      <c r="H83" s="14">
        <f t="shared" si="2"/>
        <v>2.28062</v>
      </c>
      <c r="I83" s="11"/>
      <c r="J83" s="6" t="s">
        <v>70</v>
      </c>
      <c r="K83" s="26">
        <v>44047</v>
      </c>
      <c r="L83" s="11"/>
    </row>
    <row r="84" ht="12.75" spans="1:12">
      <c r="A84" s="6" t="s">
        <v>122</v>
      </c>
      <c r="B84" s="6" t="s">
        <v>141</v>
      </c>
      <c r="C84" s="6" t="s">
        <v>181</v>
      </c>
      <c r="D84" s="6" t="s">
        <v>182</v>
      </c>
      <c r="E84" s="13">
        <v>206</v>
      </c>
      <c r="F84" s="6" t="s">
        <v>84</v>
      </c>
      <c r="G84" s="13">
        <v>3500</v>
      </c>
      <c r="H84" s="13">
        <f t="shared" si="2"/>
        <v>16.9902912621359</v>
      </c>
      <c r="I84" s="6"/>
      <c r="J84" s="6"/>
      <c r="K84" s="6"/>
      <c r="L84" s="6" t="s">
        <v>62</v>
      </c>
    </row>
    <row r="85" ht="12.75" spans="1:12">
      <c r="A85" s="6" t="s">
        <v>105</v>
      </c>
      <c r="B85" s="6" t="s">
        <v>183</v>
      </c>
      <c r="C85" s="6" t="s">
        <v>184</v>
      </c>
      <c r="D85" s="6"/>
      <c r="E85" s="13">
        <v>1</v>
      </c>
      <c r="F85" s="6" t="s">
        <v>126</v>
      </c>
      <c r="G85" s="6">
        <v>650</v>
      </c>
      <c r="H85" s="13">
        <f t="shared" si="2"/>
        <v>650</v>
      </c>
      <c r="J85" s="6" t="s">
        <v>185</v>
      </c>
      <c r="K85" s="6"/>
      <c r="L85" s="1" t="s">
        <v>68</v>
      </c>
    </row>
    <row r="86" ht="12.75" spans="1:12">
      <c r="A86" s="6" t="s">
        <v>56</v>
      </c>
      <c r="B86" s="6" t="s">
        <v>186</v>
      </c>
      <c r="C86" s="6" t="s">
        <v>187</v>
      </c>
      <c r="D86" s="1" t="s">
        <v>188</v>
      </c>
      <c r="E86" s="13">
        <v>250</v>
      </c>
      <c r="F86" s="6" t="s">
        <v>84</v>
      </c>
      <c r="G86" s="15">
        <f>5.5*576</f>
        <v>3168</v>
      </c>
      <c r="H86" s="13">
        <f t="shared" si="2"/>
        <v>12.672</v>
      </c>
      <c r="I86" s="31">
        <v>43282</v>
      </c>
      <c r="J86" s="6" t="s">
        <v>85</v>
      </c>
      <c r="K86" s="20">
        <v>43104</v>
      </c>
      <c r="L86" s="1" t="s">
        <v>66</v>
      </c>
    </row>
    <row r="87" ht="12.75" spans="1:12">
      <c r="A87" s="6" t="s">
        <v>56</v>
      </c>
      <c r="B87" s="6" t="s">
        <v>186</v>
      </c>
      <c r="C87" s="6" t="s">
        <v>187</v>
      </c>
      <c r="D87" s="6" t="s">
        <v>188</v>
      </c>
      <c r="E87" s="13">
        <v>500</v>
      </c>
      <c r="F87" s="6" t="s">
        <v>84</v>
      </c>
      <c r="G87" s="13">
        <v>5000</v>
      </c>
      <c r="H87" s="13">
        <f t="shared" si="2"/>
        <v>10</v>
      </c>
      <c r="I87" s="1"/>
      <c r="J87" s="6" t="s">
        <v>85</v>
      </c>
      <c r="K87" s="20">
        <v>43182</v>
      </c>
      <c r="L87" s="1" t="s">
        <v>66</v>
      </c>
    </row>
    <row r="88" ht="12.75" spans="1:12">
      <c r="A88" s="6" t="s">
        <v>56</v>
      </c>
      <c r="B88" s="6" t="s">
        <v>57</v>
      </c>
      <c r="C88" s="6" t="s">
        <v>187</v>
      </c>
      <c r="D88" s="6" t="s">
        <v>188</v>
      </c>
      <c r="E88" s="13">
        <v>800</v>
      </c>
      <c r="F88" s="6" t="s">
        <v>84</v>
      </c>
      <c r="G88" s="13">
        <v>7638.4</v>
      </c>
      <c r="H88" s="13">
        <f t="shared" si="2"/>
        <v>9.548</v>
      </c>
      <c r="I88" s="1" t="s">
        <v>130</v>
      </c>
      <c r="J88" s="6" t="s">
        <v>85</v>
      </c>
      <c r="K88" s="18">
        <v>43419</v>
      </c>
      <c r="L88" s="1" t="s">
        <v>62</v>
      </c>
    </row>
    <row r="89" ht="12.75" spans="1:12">
      <c r="A89" s="6" t="s">
        <v>56</v>
      </c>
      <c r="B89" s="6" t="s">
        <v>69</v>
      </c>
      <c r="C89" s="6" t="s">
        <v>187</v>
      </c>
      <c r="D89" s="1" t="s">
        <v>189</v>
      </c>
      <c r="E89" s="13">
        <v>473</v>
      </c>
      <c r="F89" s="6" t="s">
        <v>60</v>
      </c>
      <c r="G89" s="13">
        <v>6750</v>
      </c>
      <c r="H89" s="13">
        <f t="shared" si="2"/>
        <v>14.2706131078224</v>
      </c>
      <c r="I89" s="1"/>
      <c r="J89" s="6" t="s">
        <v>91</v>
      </c>
      <c r="K89" s="20">
        <v>43480</v>
      </c>
      <c r="L89" s="1" t="s">
        <v>68</v>
      </c>
    </row>
    <row r="90" ht="12.75" spans="1:12">
      <c r="A90" s="6" t="s">
        <v>56</v>
      </c>
      <c r="B90" s="6" t="s">
        <v>69</v>
      </c>
      <c r="C90" s="6" t="s">
        <v>187</v>
      </c>
      <c r="D90" s="1" t="s">
        <v>189</v>
      </c>
      <c r="E90" s="13">
        <v>473</v>
      </c>
      <c r="F90" s="6" t="s">
        <v>60</v>
      </c>
      <c r="G90" s="13">
        <v>6750</v>
      </c>
      <c r="H90" s="13">
        <f t="shared" si="2"/>
        <v>14.2706131078224</v>
      </c>
      <c r="I90" s="1"/>
      <c r="J90" s="6" t="s">
        <v>91</v>
      </c>
      <c r="K90" s="20">
        <v>43480</v>
      </c>
      <c r="L90" s="1" t="s">
        <v>68</v>
      </c>
    </row>
    <row r="91" ht="12.75" spans="1:11">
      <c r="A91" s="6" t="s">
        <v>56</v>
      </c>
      <c r="B91" s="6" t="s">
        <v>57</v>
      </c>
      <c r="C91" s="6" t="s">
        <v>187</v>
      </c>
      <c r="D91" s="6" t="s">
        <v>190</v>
      </c>
      <c r="E91" s="6">
        <v>500</v>
      </c>
      <c r="F91" s="6" t="s">
        <v>84</v>
      </c>
      <c r="G91" s="16">
        <f>(9+(9*0.13))*585</f>
        <v>5949.45</v>
      </c>
      <c r="H91" s="14">
        <f t="shared" si="2"/>
        <v>11.8989</v>
      </c>
      <c r="J91" s="6" t="s">
        <v>70</v>
      </c>
      <c r="K91" s="26">
        <v>44047</v>
      </c>
    </row>
    <row r="92" ht="12.75" spans="1:12">
      <c r="A92" s="6" t="s">
        <v>191</v>
      </c>
      <c r="B92" s="6" t="s">
        <v>36</v>
      </c>
      <c r="C92" s="6" t="s">
        <v>192</v>
      </c>
      <c r="D92" s="1" t="s">
        <v>193</v>
      </c>
      <c r="E92" s="13">
        <v>2</v>
      </c>
      <c r="F92" s="6" t="s">
        <v>126</v>
      </c>
      <c r="G92" s="13">
        <v>600</v>
      </c>
      <c r="H92" s="13">
        <v>350</v>
      </c>
      <c r="J92" s="6" t="s">
        <v>194</v>
      </c>
      <c r="K92" s="18">
        <v>43095</v>
      </c>
      <c r="L92" s="1" t="s">
        <v>68</v>
      </c>
    </row>
    <row r="93" ht="12.75" spans="1:12">
      <c r="A93" s="6" t="s">
        <v>56</v>
      </c>
      <c r="B93" s="6" t="s">
        <v>57</v>
      </c>
      <c r="C93" s="6" t="s">
        <v>195</v>
      </c>
      <c r="D93" s="1" t="s">
        <v>196</v>
      </c>
      <c r="E93" s="13">
        <v>306</v>
      </c>
      <c r="F93" s="6" t="s">
        <v>84</v>
      </c>
      <c r="G93" s="13">
        <v>4000</v>
      </c>
      <c r="H93" s="13">
        <f t="shared" ref="H93:H101" si="3">G93/E93</f>
        <v>13.0718954248366</v>
      </c>
      <c r="I93" s="1"/>
      <c r="J93" s="6" t="s">
        <v>131</v>
      </c>
      <c r="K93" s="6"/>
      <c r="L93" s="1" t="s">
        <v>62</v>
      </c>
    </row>
    <row r="94" ht="12.75" spans="1:12">
      <c r="A94" s="6" t="s">
        <v>56</v>
      </c>
      <c r="B94" s="6" t="s">
        <v>111</v>
      </c>
      <c r="C94" s="6" t="s">
        <v>197</v>
      </c>
      <c r="D94" s="1"/>
      <c r="E94" s="13">
        <v>400</v>
      </c>
      <c r="F94" s="6" t="s">
        <v>84</v>
      </c>
      <c r="G94" s="13">
        <v>2000</v>
      </c>
      <c r="H94" s="13">
        <f t="shared" si="3"/>
        <v>5</v>
      </c>
      <c r="I94" s="10">
        <v>43556</v>
      </c>
      <c r="J94" s="6" t="s">
        <v>83</v>
      </c>
      <c r="K94" s="6"/>
      <c r="L94" s="1" t="s">
        <v>62</v>
      </c>
    </row>
    <row r="95" ht="14.25" spans="1:12">
      <c r="A95" s="6" t="s">
        <v>161</v>
      </c>
      <c r="B95" s="6" t="s">
        <v>162</v>
      </c>
      <c r="C95" s="6" t="s">
        <v>198</v>
      </c>
      <c r="D95" s="1" t="s">
        <v>199</v>
      </c>
      <c r="E95" s="29">
        <v>1500</v>
      </c>
      <c r="F95" s="6" t="s">
        <v>153</v>
      </c>
      <c r="G95" s="13">
        <v>1450</v>
      </c>
      <c r="H95" s="13">
        <f t="shared" si="3"/>
        <v>0.966666666666667</v>
      </c>
      <c r="I95" s="1" t="s">
        <v>83</v>
      </c>
      <c r="J95" s="6" t="s">
        <v>171</v>
      </c>
      <c r="K95" s="20">
        <v>43367</v>
      </c>
      <c r="L95" s="1" t="s">
        <v>62</v>
      </c>
    </row>
    <row r="96" ht="12.75" spans="1:12">
      <c r="A96" s="6" t="s">
        <v>161</v>
      </c>
      <c r="B96" s="6" t="s">
        <v>162</v>
      </c>
      <c r="C96" s="6" t="s">
        <v>200</v>
      </c>
      <c r="D96" s="1" t="s">
        <v>201</v>
      </c>
      <c r="E96" s="13">
        <v>100</v>
      </c>
      <c r="F96" s="6" t="s">
        <v>126</v>
      </c>
      <c r="G96" s="13">
        <v>13000</v>
      </c>
      <c r="H96" s="13">
        <f t="shared" si="3"/>
        <v>130</v>
      </c>
      <c r="I96" s="1"/>
      <c r="J96" s="6" t="s">
        <v>165</v>
      </c>
      <c r="K96" s="20">
        <v>43353</v>
      </c>
      <c r="L96" s="1" t="s">
        <v>62</v>
      </c>
    </row>
    <row r="97" ht="12.75" spans="1:12">
      <c r="A97" s="6" t="s">
        <v>56</v>
      </c>
      <c r="B97" s="6" t="s">
        <v>57</v>
      </c>
      <c r="C97" s="6" t="s">
        <v>202</v>
      </c>
      <c r="D97" s="6" t="s">
        <v>203</v>
      </c>
      <c r="E97" s="13">
        <v>144</v>
      </c>
      <c r="F97" s="6" t="s">
        <v>84</v>
      </c>
      <c r="G97" s="13">
        <v>3982</v>
      </c>
      <c r="H97" s="13">
        <f t="shared" si="3"/>
        <v>27.6527777777778</v>
      </c>
      <c r="I97" s="6"/>
      <c r="J97" s="6" t="s">
        <v>91</v>
      </c>
      <c r="K97" s="18">
        <v>43383</v>
      </c>
      <c r="L97" s="6" t="s">
        <v>62</v>
      </c>
    </row>
    <row r="98" ht="12.75" spans="1:12">
      <c r="A98" s="6" t="s">
        <v>56</v>
      </c>
      <c r="B98" s="6" t="s">
        <v>69</v>
      </c>
      <c r="C98" s="6" t="s">
        <v>204</v>
      </c>
      <c r="D98" s="6" t="s">
        <v>203</v>
      </c>
      <c r="E98" s="13">
        <v>111</v>
      </c>
      <c r="F98" s="6" t="s">
        <v>84</v>
      </c>
      <c r="G98" s="13">
        <v>3900</v>
      </c>
      <c r="H98" s="13">
        <f t="shared" si="3"/>
        <v>35.1351351351351</v>
      </c>
      <c r="I98" s="6" t="s">
        <v>83</v>
      </c>
      <c r="J98" s="6" t="s">
        <v>91</v>
      </c>
      <c r="K98" s="18">
        <v>43383</v>
      </c>
      <c r="L98" s="6" t="s">
        <v>62</v>
      </c>
    </row>
    <row r="99" ht="12.75" spans="1:12">
      <c r="A99" s="6" t="s">
        <v>205</v>
      </c>
      <c r="B99" s="6" t="s">
        <v>206</v>
      </c>
      <c r="C99" s="6" t="s">
        <v>207</v>
      </c>
      <c r="D99" s="6" t="s">
        <v>208</v>
      </c>
      <c r="E99" s="13">
        <v>254</v>
      </c>
      <c r="F99" s="6" t="s">
        <v>84</v>
      </c>
      <c r="G99" s="15">
        <v>2100</v>
      </c>
      <c r="H99" s="13">
        <f t="shared" si="3"/>
        <v>8.26771653543307</v>
      </c>
      <c r="I99" s="19">
        <v>43709</v>
      </c>
      <c r="J99" s="6" t="s">
        <v>73</v>
      </c>
      <c r="K99" s="18">
        <v>43095</v>
      </c>
      <c r="L99" s="6" t="s">
        <v>62</v>
      </c>
    </row>
    <row r="100" ht="12.75" spans="1:12">
      <c r="A100" s="6" t="s">
        <v>56</v>
      </c>
      <c r="B100" s="6" t="s">
        <v>209</v>
      </c>
      <c r="C100" s="6" t="s">
        <v>207</v>
      </c>
      <c r="D100" s="6" t="s">
        <v>210</v>
      </c>
      <c r="E100" s="13">
        <v>1070</v>
      </c>
      <c r="F100" s="6" t="s">
        <v>84</v>
      </c>
      <c r="G100" s="13">
        <v>5200</v>
      </c>
      <c r="H100" s="13">
        <f t="shared" si="3"/>
        <v>4.85981308411215</v>
      </c>
      <c r="I100" s="6"/>
      <c r="J100" s="6" t="s">
        <v>76</v>
      </c>
      <c r="K100" s="18">
        <v>43316</v>
      </c>
      <c r="L100" s="6" t="s">
        <v>62</v>
      </c>
    </row>
    <row r="101" ht="12.75" spans="1:12">
      <c r="A101" s="6" t="s">
        <v>205</v>
      </c>
      <c r="B101" s="6" t="s">
        <v>211</v>
      </c>
      <c r="C101" s="6" t="s">
        <v>212</v>
      </c>
      <c r="D101" s="6" t="s">
        <v>213</v>
      </c>
      <c r="E101" s="13">
        <v>200</v>
      </c>
      <c r="F101" s="6" t="s">
        <v>84</v>
      </c>
      <c r="G101" s="15">
        <v>2140</v>
      </c>
      <c r="H101" s="13">
        <f t="shared" si="3"/>
        <v>10.7</v>
      </c>
      <c r="I101" s="6"/>
      <c r="J101" s="6" t="s">
        <v>73</v>
      </c>
      <c r="K101" s="18">
        <v>43095</v>
      </c>
      <c r="L101" s="6" t="s">
        <v>62</v>
      </c>
    </row>
    <row r="102" ht="12.75" spans="1:12">
      <c r="A102" s="1" t="s">
        <v>122</v>
      </c>
      <c r="B102" s="1" t="s">
        <v>141</v>
      </c>
      <c r="C102" s="1" t="s">
        <v>214</v>
      </c>
      <c r="D102" s="1" t="s">
        <v>215</v>
      </c>
      <c r="E102" s="1"/>
      <c r="F102" s="1"/>
      <c r="G102" s="7">
        <v>989</v>
      </c>
      <c r="H102" s="1"/>
      <c r="I102" s="1"/>
      <c r="J102" s="1"/>
      <c r="K102" s="1"/>
      <c r="L102" s="1" t="s">
        <v>66</v>
      </c>
    </row>
    <row r="103" ht="12.75" spans="1:12">
      <c r="A103" s="1" t="s">
        <v>122</v>
      </c>
      <c r="B103" s="1" t="s">
        <v>141</v>
      </c>
      <c r="C103" s="1" t="s">
        <v>214</v>
      </c>
      <c r="D103" s="1" t="s">
        <v>216</v>
      </c>
      <c r="E103" s="1"/>
      <c r="F103" s="1"/>
      <c r="G103" s="7">
        <v>961</v>
      </c>
      <c r="H103" s="1"/>
      <c r="I103" s="1"/>
      <c r="J103" s="1"/>
      <c r="K103" s="1"/>
      <c r="L103" s="1" t="s">
        <v>66</v>
      </c>
    </row>
    <row r="104" ht="12.75" spans="1:12">
      <c r="A104" s="1" t="s">
        <v>122</v>
      </c>
      <c r="B104" s="1" t="s">
        <v>141</v>
      </c>
      <c r="C104" s="1" t="s">
        <v>214</v>
      </c>
      <c r="D104" s="1" t="s">
        <v>217</v>
      </c>
      <c r="E104" s="1"/>
      <c r="F104" s="1"/>
      <c r="G104" s="7">
        <v>1086</v>
      </c>
      <c r="H104" s="1"/>
      <c r="I104" s="1"/>
      <c r="J104" s="1"/>
      <c r="K104" s="1"/>
      <c r="L104" s="1" t="s">
        <v>66</v>
      </c>
    </row>
    <row r="105" ht="12.75" spans="1:12">
      <c r="A105" s="6" t="s">
        <v>161</v>
      </c>
      <c r="B105" s="6" t="s">
        <v>174</v>
      </c>
      <c r="C105" s="6" t="s">
        <v>218</v>
      </c>
      <c r="D105" s="6" t="s">
        <v>219</v>
      </c>
      <c r="E105" s="13">
        <v>1</v>
      </c>
      <c r="F105" s="6" t="s">
        <v>220</v>
      </c>
      <c r="G105" s="6" t="s">
        <v>83</v>
      </c>
      <c r="H105" s="13"/>
      <c r="I105" s="6" t="s">
        <v>83</v>
      </c>
      <c r="J105" s="6" t="s">
        <v>221</v>
      </c>
      <c r="K105" s="6" t="s">
        <v>83</v>
      </c>
      <c r="L105" s="6" t="s">
        <v>62</v>
      </c>
    </row>
    <row r="106" ht="12.75" spans="1:12">
      <c r="A106" s="6" t="s">
        <v>122</v>
      </c>
      <c r="B106" s="6" t="s">
        <v>141</v>
      </c>
      <c r="C106" s="6" t="s">
        <v>222</v>
      </c>
      <c r="D106" s="11"/>
      <c r="E106" s="6">
        <v>50</v>
      </c>
      <c r="F106" s="6" t="s">
        <v>126</v>
      </c>
      <c r="G106" s="6">
        <v>60000</v>
      </c>
      <c r="H106" s="13">
        <f>G106/E106</f>
        <v>1200</v>
      </c>
      <c r="I106" s="11"/>
      <c r="J106" s="11"/>
      <c r="K106" s="11"/>
      <c r="L106" s="11"/>
    </row>
    <row r="107" ht="12.75" spans="1:12">
      <c r="A107" s="6" t="s">
        <v>56</v>
      </c>
      <c r="B107" s="6" t="s">
        <v>57</v>
      </c>
      <c r="C107" s="6" t="s">
        <v>223</v>
      </c>
      <c r="D107" s="6" t="s">
        <v>83</v>
      </c>
      <c r="E107" s="13">
        <v>30</v>
      </c>
      <c r="F107" s="6" t="s">
        <v>60</v>
      </c>
      <c r="G107" s="15">
        <f>4.3*576</f>
        <v>2476.8</v>
      </c>
      <c r="H107" s="13">
        <f>G107/E107</f>
        <v>82.56</v>
      </c>
      <c r="I107" s="6"/>
      <c r="J107" s="6" t="s">
        <v>85</v>
      </c>
      <c r="K107" s="20">
        <v>43104</v>
      </c>
      <c r="L107" s="6" t="s">
        <v>66</v>
      </c>
    </row>
    <row r="108" ht="12.75" spans="1:12">
      <c r="A108" s="6" t="s">
        <v>56</v>
      </c>
      <c r="B108" s="6" t="s">
        <v>57</v>
      </c>
      <c r="C108" s="6" t="s">
        <v>223</v>
      </c>
      <c r="D108" s="6" t="s">
        <v>83</v>
      </c>
      <c r="E108" s="13">
        <v>120</v>
      </c>
      <c r="F108" s="6" t="s">
        <v>60</v>
      </c>
      <c r="G108" s="13">
        <f>16*590</f>
        <v>9440</v>
      </c>
      <c r="H108" s="13">
        <f t="shared" ref="H108:H114" si="4">G108/E108</f>
        <v>78.6666666666667</v>
      </c>
      <c r="I108" s="6"/>
      <c r="J108" s="6" t="s">
        <v>85</v>
      </c>
      <c r="K108" s="20">
        <v>43353</v>
      </c>
      <c r="L108" s="6" t="s">
        <v>62</v>
      </c>
    </row>
    <row r="109" ht="12.75" spans="1:12">
      <c r="A109" s="6" t="s">
        <v>56</v>
      </c>
      <c r="B109" s="6" t="s">
        <v>57</v>
      </c>
      <c r="C109" s="6" t="s">
        <v>223</v>
      </c>
      <c r="D109" s="11"/>
      <c r="E109" s="6">
        <v>30</v>
      </c>
      <c r="F109" s="6" t="s">
        <v>60</v>
      </c>
      <c r="G109" s="16">
        <f>(5.9+(5.9*0.13))*585</f>
        <v>3900.195</v>
      </c>
      <c r="H109" s="14">
        <f t="shared" si="4"/>
        <v>130.0065</v>
      </c>
      <c r="I109" s="11"/>
      <c r="J109" s="6" t="s">
        <v>70</v>
      </c>
      <c r="K109" s="26">
        <v>44047</v>
      </c>
      <c r="L109" s="11"/>
    </row>
    <row r="110" ht="12.75" spans="1:12">
      <c r="A110" s="6" t="s">
        <v>122</v>
      </c>
      <c r="B110" s="6" t="s">
        <v>224</v>
      </c>
      <c r="C110" s="6" t="s">
        <v>225</v>
      </c>
      <c r="D110" s="6" t="s">
        <v>226</v>
      </c>
      <c r="E110" s="13">
        <v>1000</v>
      </c>
      <c r="F110" s="6" t="s">
        <v>227</v>
      </c>
      <c r="G110" s="15">
        <v>2100</v>
      </c>
      <c r="H110" s="13">
        <f t="shared" si="4"/>
        <v>2.1</v>
      </c>
      <c r="I110" s="1"/>
      <c r="J110" s="6" t="s">
        <v>228</v>
      </c>
      <c r="K110" s="6"/>
      <c r="L110" s="6" t="s">
        <v>66</v>
      </c>
    </row>
    <row r="111" ht="12.75" spans="1:12">
      <c r="A111" s="6" t="s">
        <v>122</v>
      </c>
      <c r="B111" s="6" t="s">
        <v>229</v>
      </c>
      <c r="C111" s="6" t="s">
        <v>230</v>
      </c>
      <c r="D111" s="1" t="s">
        <v>231</v>
      </c>
      <c r="E111" s="13">
        <v>20</v>
      </c>
      <c r="F111" s="6" t="s">
        <v>126</v>
      </c>
      <c r="G111" s="15">
        <v>2095</v>
      </c>
      <c r="H111" s="13">
        <f t="shared" si="4"/>
        <v>104.75</v>
      </c>
      <c r="I111" s="1"/>
      <c r="J111" s="1" t="s">
        <v>232</v>
      </c>
      <c r="K111" s="10">
        <v>43104</v>
      </c>
      <c r="L111" s="1" t="s">
        <v>62</v>
      </c>
    </row>
    <row r="113" customHeight="true" spans="1:13">
      <c r="A113" s="6" t="s">
        <v>56</v>
      </c>
      <c r="B113" s="6" t="s">
        <v>57</v>
      </c>
      <c r="C113" s="6" t="s">
        <v>98</v>
      </c>
      <c r="D113" s="6" t="s">
        <v>83</v>
      </c>
      <c r="E113" s="13">
        <v>120</v>
      </c>
      <c r="F113" s="6" t="s">
        <v>60</v>
      </c>
      <c r="G113" s="13">
        <f>590*12.5</f>
        <v>7375</v>
      </c>
      <c r="H113" s="13">
        <f t="shared" si="4"/>
        <v>61.4583333333333</v>
      </c>
      <c r="I113" s="6" t="s">
        <v>83</v>
      </c>
      <c r="J113" s="6" t="s">
        <v>85</v>
      </c>
      <c r="K113" s="20">
        <v>43378</v>
      </c>
      <c r="L113" s="6" t="s">
        <v>62</v>
      </c>
      <c r="M113" t="s">
        <v>233</v>
      </c>
    </row>
    <row r="114" customHeight="true" spans="1:13">
      <c r="A114" t="s">
        <v>113</v>
      </c>
      <c r="B114" t="s">
        <v>111</v>
      </c>
      <c r="C114" t="s">
        <v>234</v>
      </c>
      <c r="D114" t="s">
        <v>235</v>
      </c>
      <c r="E114">
        <v>10</v>
      </c>
      <c r="F114" t="s">
        <v>84</v>
      </c>
      <c r="G114">
        <v>700</v>
      </c>
      <c r="H114" s="13">
        <f t="shared" si="4"/>
        <v>70</v>
      </c>
      <c r="I114" t="s">
        <v>83</v>
      </c>
      <c r="J114" t="s">
        <v>70</v>
      </c>
      <c r="L114" t="s">
        <v>62</v>
      </c>
      <c r="M114" t="s">
        <v>233</v>
      </c>
    </row>
  </sheetData>
  <autoFilter ref="A1:L111">
    <sortState ref="A1:L111">
      <sortCondition ref="C1"/>
    </sortState>
    <extLst/>
  </autoFilter>
  <customSheetViews>
    <customSheetView guid="{5EB91EB7-3784-4978-8079-185A4BEF48EE}" filter="true" showAutoFilter="true">
      <autoFilter ref="A1:L93">
        <filterColumn colId="11">
          <filters blank="1">
            <filter val="Disponible"/>
            <filter val="Empezado"/>
          </filters>
        </filterColumn>
      </autoFilter>
    </customSheetView>
  </customSheetView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I17"/>
  <sheetViews>
    <sheetView workbookViewId="0">
      <selection activeCell="A1" sqref="A1"/>
    </sheetView>
  </sheetViews>
  <sheetFormatPr defaultColWidth="14.4333333333333" defaultRowHeight="15.75" customHeight="true"/>
  <sheetData>
    <row r="1" ht="12.75" spans="2:9">
      <c r="B1" s="1"/>
      <c r="C1" s="1"/>
      <c r="D1" s="1"/>
      <c r="E1" s="1"/>
      <c r="F1" s="1"/>
      <c r="G1" s="1"/>
      <c r="H1" s="1"/>
      <c r="I1" s="1">
        <f>SUM(I3:I1000)</f>
        <v>160000</v>
      </c>
    </row>
    <row r="2" ht="12.7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236</v>
      </c>
      <c r="F2" s="3" t="s">
        <v>11</v>
      </c>
      <c r="G2" s="3" t="s">
        <v>51</v>
      </c>
      <c r="H2" s="3" t="s">
        <v>237</v>
      </c>
      <c r="I2" s="3" t="s">
        <v>12</v>
      </c>
    </row>
    <row r="3" ht="12.75" spans="1:9">
      <c r="A3" s="1">
        <v>2017</v>
      </c>
      <c r="B3" s="1">
        <v>12</v>
      </c>
      <c r="C3" s="1">
        <v>26</v>
      </c>
      <c r="D3" s="2">
        <f t="shared" ref="D3:D4" si="0">DATE(A3,B3,C3)</f>
        <v>43095</v>
      </c>
      <c r="E3" s="1" t="s">
        <v>238</v>
      </c>
      <c r="G3" s="1">
        <v>10000</v>
      </c>
      <c r="H3" s="1">
        <v>8</v>
      </c>
      <c r="I3" s="1">
        <f t="shared" ref="I3:I17" si="1">G3*H3</f>
        <v>80000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239</v>
      </c>
      <c r="G4" s="1">
        <v>10000</v>
      </c>
      <c r="H4" s="1">
        <v>8</v>
      </c>
      <c r="I4" s="1">
        <f t="shared" si="1"/>
        <v>80000</v>
      </c>
    </row>
    <row r="5" ht="12.75" spans="9:9">
      <c r="I5" s="1">
        <f t="shared" si="1"/>
        <v>0</v>
      </c>
    </row>
    <row r="6" ht="12.75" spans="9:9">
      <c r="I6" s="1">
        <f t="shared" si="1"/>
        <v>0</v>
      </c>
    </row>
    <row r="7" ht="12.75" spans="9:9">
      <c r="I7" s="1">
        <f t="shared" si="1"/>
        <v>0</v>
      </c>
    </row>
    <row r="8" ht="12.75" spans="9:9">
      <c r="I8" s="1">
        <f t="shared" si="1"/>
        <v>0</v>
      </c>
    </row>
    <row r="9" ht="12.75" spans="9:9">
      <c r="I9" s="1">
        <f t="shared" si="1"/>
        <v>0</v>
      </c>
    </row>
    <row r="10" ht="12.75" spans="9:9">
      <c r="I10" s="1">
        <f t="shared" si="1"/>
        <v>0</v>
      </c>
    </row>
    <row r="11" ht="12.75" spans="9:9">
      <c r="I11" s="1">
        <f t="shared" si="1"/>
        <v>0</v>
      </c>
    </row>
    <row r="12" ht="12.75" spans="9:9">
      <c r="I12" s="1">
        <f t="shared" si="1"/>
        <v>0</v>
      </c>
    </row>
    <row r="13" ht="12.75" spans="9:9">
      <c r="I13" s="1">
        <f t="shared" si="1"/>
        <v>0</v>
      </c>
    </row>
    <row r="14" ht="12.75" spans="9:9">
      <c r="I14" s="1">
        <f t="shared" si="1"/>
        <v>0</v>
      </c>
    </row>
    <row r="15" ht="12.75" spans="9:9">
      <c r="I15" s="1">
        <f t="shared" si="1"/>
        <v>0</v>
      </c>
    </row>
    <row r="16" ht="12.75" spans="9:9">
      <c r="I16" s="1">
        <f t="shared" si="1"/>
        <v>0</v>
      </c>
    </row>
    <row r="17" ht="12.75" spans="9:9">
      <c r="I17" s="1">
        <f t="shared" si="1"/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L39"/>
  <sheetViews>
    <sheetView workbookViewId="0">
      <selection activeCell="A1" sqref="A1"/>
    </sheetView>
  </sheetViews>
  <sheetFormatPr defaultColWidth="14.4333333333333" defaultRowHeight="15.75" customHeight="true"/>
  <cols>
    <col min="1" max="2" width="12.5666666666667" customWidth="true"/>
    <col min="3" max="3" width="15" customWidth="true"/>
    <col min="4" max="4" width="21.7083333333333" customWidth="true"/>
    <col min="5" max="5" width="40.1416666666667" customWidth="true"/>
    <col min="6" max="6" width="12" customWidth="true"/>
    <col min="7" max="7" width="10.2916666666667" customWidth="true"/>
    <col min="8" max="8" width="9.70833333333333" customWidth="true"/>
    <col min="9" max="9" width="13" customWidth="true"/>
    <col min="10" max="10" width="16.4333333333333" customWidth="true"/>
    <col min="11" max="11" width="12" customWidth="true"/>
    <col min="12" max="12" width="10.1416666666667" customWidth="true"/>
    <col min="13" max="25" width="12.5666666666667" customWidth="true"/>
  </cols>
  <sheetData>
    <row r="1" ht="25.5" spans="1:12">
      <c r="A1" s="5" t="s">
        <v>240</v>
      </c>
      <c r="B1" s="5" t="s">
        <v>241</v>
      </c>
      <c r="C1" s="5" t="s">
        <v>242</v>
      </c>
      <c r="D1" s="5" t="s">
        <v>243</v>
      </c>
      <c r="E1" s="5" t="s">
        <v>244</v>
      </c>
      <c r="F1" s="5" t="s">
        <v>245</v>
      </c>
      <c r="G1" s="5" t="s">
        <v>246</v>
      </c>
      <c r="H1" s="5" t="s">
        <v>247</v>
      </c>
      <c r="I1" s="5" t="s">
        <v>248</v>
      </c>
      <c r="J1" s="5" t="s">
        <v>249</v>
      </c>
      <c r="K1" s="5" t="s">
        <v>250</v>
      </c>
      <c r="L1" s="5" t="s">
        <v>251</v>
      </c>
    </row>
    <row r="2" ht="12.75" spans="1:12">
      <c r="A2" s="1">
        <v>1</v>
      </c>
      <c r="B2" s="1" t="s">
        <v>252</v>
      </c>
      <c r="C2" s="1" t="s">
        <v>252</v>
      </c>
      <c r="D2" s="1" t="s">
        <v>253</v>
      </c>
      <c r="E2" s="1" t="s">
        <v>254</v>
      </c>
      <c r="F2" s="7">
        <v>1</v>
      </c>
      <c r="G2" s="1" t="s">
        <v>126</v>
      </c>
      <c r="H2" s="8">
        <v>15999.9977</v>
      </c>
      <c r="I2" s="7">
        <f t="shared" ref="I2:I11" si="0">H2/F2</f>
        <v>15999.9977</v>
      </c>
      <c r="J2" s="1" t="s">
        <v>255</v>
      </c>
      <c r="K2" s="9">
        <v>43095</v>
      </c>
      <c r="L2" s="1" t="s">
        <v>256</v>
      </c>
    </row>
    <row r="3" ht="12.75" spans="1:12">
      <c r="A3" s="1">
        <v>2</v>
      </c>
      <c r="B3" s="1" t="s">
        <v>257</v>
      </c>
      <c r="C3" s="1" t="s">
        <v>36</v>
      </c>
      <c r="D3" s="1" t="s">
        <v>258</v>
      </c>
      <c r="E3" s="1" t="s">
        <v>259</v>
      </c>
      <c r="F3" s="7">
        <v>1</v>
      </c>
      <c r="G3" s="1" t="s">
        <v>126</v>
      </c>
      <c r="H3" s="8">
        <v>1000.0048</v>
      </c>
      <c r="I3" s="7">
        <f t="shared" si="0"/>
        <v>1000.0048</v>
      </c>
      <c r="J3" s="1" t="s">
        <v>255</v>
      </c>
      <c r="K3" s="9">
        <v>43095</v>
      </c>
      <c r="L3" s="1" t="s">
        <v>256</v>
      </c>
    </row>
    <row r="4" ht="12.75" spans="1:12">
      <c r="A4" s="1">
        <v>3</v>
      </c>
      <c r="B4" s="1" t="s">
        <v>257</v>
      </c>
      <c r="C4" s="1" t="s">
        <v>36</v>
      </c>
      <c r="D4" s="1" t="s">
        <v>260</v>
      </c>
      <c r="E4" s="1" t="s">
        <v>261</v>
      </c>
      <c r="F4" s="7">
        <v>1</v>
      </c>
      <c r="G4" s="1" t="s">
        <v>126</v>
      </c>
      <c r="H4" s="8">
        <v>550</v>
      </c>
      <c r="I4" s="7">
        <f t="shared" si="0"/>
        <v>550</v>
      </c>
      <c r="J4" s="1" t="s">
        <v>121</v>
      </c>
      <c r="K4" s="9">
        <v>43095</v>
      </c>
      <c r="L4" s="1" t="s">
        <v>256</v>
      </c>
    </row>
    <row r="5" ht="12.75" spans="1:12">
      <c r="A5" s="1">
        <v>4</v>
      </c>
      <c r="B5" s="1" t="s">
        <v>252</v>
      </c>
      <c r="C5" s="1" t="s">
        <v>36</v>
      </c>
      <c r="D5" s="1" t="s">
        <v>262</v>
      </c>
      <c r="E5" s="1" t="s">
        <v>263</v>
      </c>
      <c r="F5" s="7">
        <v>1</v>
      </c>
      <c r="G5" s="1" t="s">
        <v>126</v>
      </c>
      <c r="H5" s="8">
        <v>2199.997</v>
      </c>
      <c r="I5" s="7">
        <f t="shared" si="0"/>
        <v>2199.997</v>
      </c>
      <c r="J5" s="1" t="s">
        <v>255</v>
      </c>
      <c r="K5" s="9">
        <v>43095</v>
      </c>
      <c r="L5" s="1" t="s">
        <v>256</v>
      </c>
    </row>
    <row r="6" ht="12.75" spans="1:12">
      <c r="A6" s="1">
        <v>5</v>
      </c>
      <c r="B6" s="1" t="s">
        <v>252</v>
      </c>
      <c r="C6" s="1" t="s">
        <v>36</v>
      </c>
      <c r="D6" s="1" t="s">
        <v>264</v>
      </c>
      <c r="E6" s="1" t="s">
        <v>265</v>
      </c>
      <c r="F6" s="7">
        <v>1</v>
      </c>
      <c r="G6" s="1" t="s">
        <v>126</v>
      </c>
      <c r="H6" s="8">
        <v>5349.9963</v>
      </c>
      <c r="I6" s="7">
        <f t="shared" si="0"/>
        <v>5349.9963</v>
      </c>
      <c r="J6" s="1" t="s">
        <v>255</v>
      </c>
      <c r="K6" s="9">
        <v>43095</v>
      </c>
      <c r="L6" s="1" t="s">
        <v>256</v>
      </c>
    </row>
    <row r="7" ht="12.75" spans="1:12">
      <c r="A7" s="1">
        <v>6</v>
      </c>
      <c r="B7" s="1" t="s">
        <v>252</v>
      </c>
      <c r="C7" s="1" t="s">
        <v>36</v>
      </c>
      <c r="D7" s="1" t="s">
        <v>266</v>
      </c>
      <c r="E7" s="1" t="s">
        <v>267</v>
      </c>
      <c r="F7" s="7">
        <v>1</v>
      </c>
      <c r="G7" s="1" t="s">
        <v>126</v>
      </c>
      <c r="H7" s="8">
        <v>5200.0001</v>
      </c>
      <c r="I7" s="7">
        <f t="shared" si="0"/>
        <v>5200.0001</v>
      </c>
      <c r="J7" s="1" t="s">
        <v>255</v>
      </c>
      <c r="K7" s="9">
        <v>43095</v>
      </c>
      <c r="L7" s="1" t="s">
        <v>256</v>
      </c>
    </row>
    <row r="8" ht="12.75" spans="1:12">
      <c r="A8" s="1">
        <v>7</v>
      </c>
      <c r="B8" s="1" t="s">
        <v>249</v>
      </c>
      <c r="C8" s="1" t="s">
        <v>268</v>
      </c>
      <c r="D8" s="1" t="s">
        <v>269</v>
      </c>
      <c r="E8" t="s">
        <v>270</v>
      </c>
      <c r="F8" s="7">
        <v>2</v>
      </c>
      <c r="G8" s="1" t="s">
        <v>126</v>
      </c>
      <c r="H8" s="7">
        <v>6800</v>
      </c>
      <c r="I8" s="7">
        <f t="shared" si="0"/>
        <v>3400</v>
      </c>
      <c r="J8" s="1" t="s">
        <v>76</v>
      </c>
      <c r="K8" s="10">
        <v>43105</v>
      </c>
      <c r="L8" s="1" t="s">
        <v>256</v>
      </c>
    </row>
    <row r="9" ht="12.75" spans="1:12">
      <c r="A9" s="1">
        <v>8</v>
      </c>
      <c r="B9" s="1" t="s">
        <v>252</v>
      </c>
      <c r="C9" s="1" t="s">
        <v>174</v>
      </c>
      <c r="D9" s="1" t="s">
        <v>271</v>
      </c>
      <c r="E9" s="1" t="s">
        <v>272</v>
      </c>
      <c r="F9" s="7">
        <v>1</v>
      </c>
      <c r="G9" s="1" t="s">
        <v>126</v>
      </c>
      <c r="H9" s="7">
        <f>600+(600*0.13)</f>
        <v>678</v>
      </c>
      <c r="I9" s="7">
        <f t="shared" si="0"/>
        <v>678</v>
      </c>
      <c r="J9" s="1" t="s">
        <v>165</v>
      </c>
      <c r="K9" s="10">
        <v>43105</v>
      </c>
      <c r="L9" s="1" t="s">
        <v>273</v>
      </c>
    </row>
    <row r="10" ht="12.75" spans="1:12">
      <c r="A10" s="1">
        <v>9</v>
      </c>
      <c r="B10" s="1" t="s">
        <v>252</v>
      </c>
      <c r="C10" s="1" t="s">
        <v>36</v>
      </c>
      <c r="D10" s="1" t="s">
        <v>274</v>
      </c>
      <c r="E10" s="1" t="s">
        <v>275</v>
      </c>
      <c r="F10" s="7">
        <v>2</v>
      </c>
      <c r="G10" s="1" t="s">
        <v>126</v>
      </c>
      <c r="H10" s="7">
        <v>1800</v>
      </c>
      <c r="I10" s="7">
        <f t="shared" si="0"/>
        <v>900</v>
      </c>
      <c r="J10" s="1" t="s">
        <v>76</v>
      </c>
      <c r="K10" s="10">
        <v>43105</v>
      </c>
      <c r="L10" s="1" t="s">
        <v>256</v>
      </c>
    </row>
    <row r="11" ht="12.75" spans="1:12">
      <c r="A11" s="1">
        <v>10</v>
      </c>
      <c r="B11" s="1" t="s">
        <v>252</v>
      </c>
      <c r="C11" s="1" t="s">
        <v>276</v>
      </c>
      <c r="D11" s="1" t="s">
        <v>277</v>
      </c>
      <c r="E11" s="1" t="s">
        <v>278</v>
      </c>
      <c r="F11" s="7">
        <v>5</v>
      </c>
      <c r="G11" s="1" t="s">
        <v>126</v>
      </c>
      <c r="H11" s="7">
        <f>900+(900*0.13)</f>
        <v>1017</v>
      </c>
      <c r="I11" s="7">
        <f t="shared" si="0"/>
        <v>203.4</v>
      </c>
      <c r="J11" s="1" t="s">
        <v>165</v>
      </c>
      <c r="K11" s="10">
        <v>43105</v>
      </c>
      <c r="L11" s="1" t="s">
        <v>256</v>
      </c>
    </row>
    <row r="12" ht="12.75" spans="1:12">
      <c r="A12" s="1">
        <v>11</v>
      </c>
      <c r="B12" s="1" t="s">
        <v>252</v>
      </c>
      <c r="C12" s="1" t="s">
        <v>36</v>
      </c>
      <c r="D12" s="1" t="s">
        <v>279</v>
      </c>
      <c r="E12" s="1" t="s">
        <v>280</v>
      </c>
      <c r="F12" s="7">
        <v>1</v>
      </c>
      <c r="G12" s="1" t="s">
        <v>126</v>
      </c>
      <c r="H12" s="7">
        <f>5220+(5220*0.13)</f>
        <v>5898.6</v>
      </c>
      <c r="I12" s="1" t="s">
        <v>83</v>
      </c>
      <c r="J12" s="1" t="s">
        <v>165</v>
      </c>
      <c r="K12" s="10">
        <v>43105</v>
      </c>
      <c r="L12" s="1" t="s">
        <v>256</v>
      </c>
    </row>
    <row r="13" ht="12.75" spans="1:12">
      <c r="A13" s="1">
        <v>12</v>
      </c>
      <c r="B13" s="1" t="s">
        <v>252</v>
      </c>
      <c r="C13" s="1" t="s">
        <v>36</v>
      </c>
      <c r="D13" s="1" t="s">
        <v>281</v>
      </c>
      <c r="E13" s="1" t="s">
        <v>282</v>
      </c>
      <c r="F13" s="7">
        <v>1</v>
      </c>
      <c r="G13" s="1"/>
      <c r="H13" s="7">
        <v>1456</v>
      </c>
      <c r="I13" s="7">
        <f t="shared" ref="I13:I17" si="1">H13/F13</f>
        <v>1456</v>
      </c>
      <c r="J13" s="1" t="s">
        <v>165</v>
      </c>
      <c r="K13" s="10">
        <v>43168</v>
      </c>
      <c r="L13" s="1" t="s">
        <v>256</v>
      </c>
    </row>
    <row r="14" ht="12.75" spans="1:12">
      <c r="A14" s="1">
        <v>13</v>
      </c>
      <c r="B14" s="1" t="s">
        <v>252</v>
      </c>
      <c r="C14" s="1" t="s">
        <v>35</v>
      </c>
      <c r="D14" s="1" t="s">
        <v>283</v>
      </c>
      <c r="E14" s="1" t="s">
        <v>83</v>
      </c>
      <c r="F14" s="7">
        <v>1</v>
      </c>
      <c r="G14" s="1"/>
      <c r="H14" s="7">
        <v>1726</v>
      </c>
      <c r="I14" s="7">
        <f t="shared" si="1"/>
        <v>1726</v>
      </c>
      <c r="J14" s="1" t="s">
        <v>165</v>
      </c>
      <c r="K14" s="10">
        <v>43168</v>
      </c>
      <c r="L14" s="1" t="s">
        <v>256</v>
      </c>
    </row>
    <row r="15" ht="12.75" spans="1:12">
      <c r="A15" s="1">
        <v>14</v>
      </c>
      <c r="B15" s="1" t="s">
        <v>284</v>
      </c>
      <c r="C15" s="1" t="s">
        <v>285</v>
      </c>
      <c r="D15" s="1" t="s">
        <v>286</v>
      </c>
      <c r="E15" s="1" t="s">
        <v>83</v>
      </c>
      <c r="F15" s="7">
        <v>1</v>
      </c>
      <c r="G15" s="1"/>
      <c r="H15" s="7">
        <v>1026</v>
      </c>
      <c r="I15" s="7">
        <f t="shared" si="1"/>
        <v>1026</v>
      </c>
      <c r="J15" s="1" t="s">
        <v>165</v>
      </c>
      <c r="K15" s="10">
        <v>43168</v>
      </c>
      <c r="L15" s="1" t="s">
        <v>256</v>
      </c>
    </row>
    <row r="16" ht="12.75" spans="1:12">
      <c r="A16" s="1">
        <v>15</v>
      </c>
      <c r="B16" s="1" t="s">
        <v>284</v>
      </c>
      <c r="C16" s="1" t="s">
        <v>285</v>
      </c>
      <c r="D16" s="1" t="s">
        <v>287</v>
      </c>
      <c r="E16" s="1" t="s">
        <v>288</v>
      </c>
      <c r="F16" s="7">
        <v>1</v>
      </c>
      <c r="G16" s="1"/>
      <c r="H16" s="7">
        <v>1896</v>
      </c>
      <c r="I16" s="7">
        <f t="shared" si="1"/>
        <v>1896</v>
      </c>
      <c r="J16" s="1" t="s">
        <v>165</v>
      </c>
      <c r="K16" s="10">
        <v>43168</v>
      </c>
      <c r="L16" s="1" t="s">
        <v>256</v>
      </c>
    </row>
    <row r="17" ht="12.75" spans="1:12">
      <c r="A17" s="1">
        <v>16</v>
      </c>
      <c r="B17" s="1" t="s">
        <v>284</v>
      </c>
      <c r="C17" s="1" t="s">
        <v>285</v>
      </c>
      <c r="D17" s="1" t="s">
        <v>289</v>
      </c>
      <c r="E17" s="1" t="s">
        <v>290</v>
      </c>
      <c r="F17" s="7">
        <v>1</v>
      </c>
      <c r="G17" s="1"/>
      <c r="H17" s="7">
        <v>5416</v>
      </c>
      <c r="I17" s="7">
        <f t="shared" si="1"/>
        <v>5416</v>
      </c>
      <c r="J17" s="1" t="s">
        <v>165</v>
      </c>
      <c r="K17" s="10">
        <v>43168</v>
      </c>
      <c r="L17" s="1" t="s">
        <v>256</v>
      </c>
    </row>
    <row r="18" ht="12.75" spans="1:12">
      <c r="A18" s="1">
        <v>17</v>
      </c>
      <c r="B18" s="1" t="s">
        <v>249</v>
      </c>
      <c r="C18" s="1" t="s">
        <v>36</v>
      </c>
      <c r="D18" s="1" t="s">
        <v>291</v>
      </c>
      <c r="E18" s="1" t="s">
        <v>292</v>
      </c>
      <c r="F18" s="7">
        <v>1</v>
      </c>
      <c r="G18" s="1" t="s">
        <v>83</v>
      </c>
      <c r="H18" s="7">
        <v>700</v>
      </c>
      <c r="I18" s="1" t="s">
        <v>83</v>
      </c>
      <c r="J18" s="1" t="s">
        <v>76</v>
      </c>
      <c r="K18" s="10">
        <v>43185</v>
      </c>
      <c r="L18" s="1" t="s">
        <v>256</v>
      </c>
    </row>
    <row r="19" ht="12.75" spans="1:12">
      <c r="A19" s="1">
        <v>18</v>
      </c>
      <c r="B19" s="1" t="s">
        <v>249</v>
      </c>
      <c r="C19" s="1" t="s">
        <v>36</v>
      </c>
      <c r="D19" s="1" t="s">
        <v>291</v>
      </c>
      <c r="E19" s="1" t="s">
        <v>293</v>
      </c>
      <c r="F19" s="7">
        <v>1</v>
      </c>
      <c r="G19" s="1" t="s">
        <v>83</v>
      </c>
      <c r="H19" s="7">
        <v>1756.64</v>
      </c>
      <c r="I19" s="1" t="s">
        <v>83</v>
      </c>
      <c r="J19" s="1" t="s">
        <v>76</v>
      </c>
      <c r="K19" s="10">
        <v>43185</v>
      </c>
      <c r="L19" s="1" t="s">
        <v>256</v>
      </c>
    </row>
    <row r="20" ht="12.75" spans="1:12">
      <c r="A20" s="1">
        <v>19</v>
      </c>
      <c r="B20" s="1" t="s">
        <v>252</v>
      </c>
      <c r="C20" s="1" t="s">
        <v>276</v>
      </c>
      <c r="D20" s="1" t="s">
        <v>294</v>
      </c>
      <c r="E20" s="1" t="s">
        <v>295</v>
      </c>
      <c r="F20" s="7">
        <v>1</v>
      </c>
      <c r="G20" s="1" t="s">
        <v>126</v>
      </c>
      <c r="H20" s="7">
        <v>440.7</v>
      </c>
      <c r="I20" s="1" t="s">
        <v>83</v>
      </c>
      <c r="J20" s="1" t="s">
        <v>165</v>
      </c>
      <c r="K20" s="10">
        <v>43195</v>
      </c>
      <c r="L20" s="1" t="s">
        <v>256</v>
      </c>
    </row>
    <row r="21" ht="12.75" spans="1:12">
      <c r="A21" s="1">
        <v>20</v>
      </c>
      <c r="B21" s="1" t="s">
        <v>252</v>
      </c>
      <c r="C21" s="1" t="s">
        <v>276</v>
      </c>
      <c r="D21" s="1" t="s">
        <v>296</v>
      </c>
      <c r="E21" s="1" t="s">
        <v>297</v>
      </c>
      <c r="F21" s="7">
        <v>1</v>
      </c>
      <c r="G21" s="1"/>
      <c r="H21" s="7">
        <f>1947+125</f>
        <v>2072</v>
      </c>
      <c r="I21" s="1"/>
      <c r="J21" s="1" t="s">
        <v>121</v>
      </c>
      <c r="K21" s="10">
        <v>43353</v>
      </c>
      <c r="L21" s="1" t="s">
        <v>256</v>
      </c>
    </row>
    <row r="22" ht="12.75" spans="1:12">
      <c r="A22" s="1">
        <v>21</v>
      </c>
      <c r="B22" s="1" t="s">
        <v>252</v>
      </c>
      <c r="C22" s="1" t="s">
        <v>183</v>
      </c>
      <c r="D22" s="1" t="s">
        <v>298</v>
      </c>
      <c r="E22" s="1" t="s">
        <v>299</v>
      </c>
      <c r="F22" s="1" t="s">
        <v>83</v>
      </c>
      <c r="G22" s="1"/>
      <c r="H22" s="7">
        <v>1150</v>
      </c>
      <c r="I22" s="1"/>
      <c r="J22" s="1" t="s">
        <v>300</v>
      </c>
      <c r="K22" s="10">
        <v>43353</v>
      </c>
      <c r="L22" s="1" t="s">
        <v>256</v>
      </c>
    </row>
    <row r="23" ht="12.75" spans="1:12">
      <c r="A23" s="1">
        <v>22</v>
      </c>
      <c r="B23" s="1" t="s">
        <v>252</v>
      </c>
      <c r="C23" s="1" t="s">
        <v>36</v>
      </c>
      <c r="D23" s="1" t="s">
        <v>279</v>
      </c>
      <c r="E23" s="1" t="s">
        <v>301</v>
      </c>
      <c r="F23" s="7">
        <v>1</v>
      </c>
      <c r="G23" s="1" t="s">
        <v>126</v>
      </c>
      <c r="H23" s="7">
        <v>3661.2</v>
      </c>
      <c r="I23" s="1" t="s">
        <v>83</v>
      </c>
      <c r="J23" s="1" t="s">
        <v>165</v>
      </c>
      <c r="K23" s="10">
        <v>43378</v>
      </c>
      <c r="L23" s="1" t="s">
        <v>256</v>
      </c>
    </row>
    <row r="24" ht="12.75" spans="1:12">
      <c r="A24" s="1">
        <v>23</v>
      </c>
      <c r="B24" s="1" t="s">
        <v>252</v>
      </c>
      <c r="C24" s="1" t="s">
        <v>36</v>
      </c>
      <c r="D24" s="1" t="s">
        <v>302</v>
      </c>
      <c r="E24" s="1" t="s">
        <v>303</v>
      </c>
      <c r="F24" s="7">
        <v>1</v>
      </c>
      <c r="G24" s="1" t="s">
        <v>126</v>
      </c>
      <c r="H24" s="7">
        <v>2100</v>
      </c>
      <c r="I24" s="7">
        <f t="shared" ref="I24:I35" si="2">H24/F24</f>
        <v>2100</v>
      </c>
      <c r="J24" s="1" t="s">
        <v>76</v>
      </c>
      <c r="K24" s="10">
        <v>43412</v>
      </c>
      <c r="L24" s="1" t="s">
        <v>256</v>
      </c>
    </row>
    <row r="25" ht="12.75" spans="1:12">
      <c r="A25" s="1">
        <v>24</v>
      </c>
      <c r="B25" s="1" t="s">
        <v>252</v>
      </c>
      <c r="C25" s="1" t="s">
        <v>36</v>
      </c>
      <c r="D25" s="1" t="s">
        <v>304</v>
      </c>
      <c r="E25" s="1" t="s">
        <v>305</v>
      </c>
      <c r="F25" s="7">
        <v>1</v>
      </c>
      <c r="G25" s="1" t="s">
        <v>126</v>
      </c>
      <c r="H25" s="8">
        <v>3496.0125</v>
      </c>
      <c r="I25" s="7">
        <f t="shared" si="2"/>
        <v>3496.0125</v>
      </c>
      <c r="J25" s="1" t="s">
        <v>255</v>
      </c>
      <c r="K25" s="10">
        <v>43412</v>
      </c>
      <c r="L25" s="1" t="s">
        <v>256</v>
      </c>
    </row>
    <row r="26" ht="12.75" spans="1:12">
      <c r="A26" s="1">
        <v>25</v>
      </c>
      <c r="B26" s="1" t="s">
        <v>252</v>
      </c>
      <c r="C26" s="1" t="s">
        <v>36</v>
      </c>
      <c r="D26" s="1" t="s">
        <v>304</v>
      </c>
      <c r="E26" s="1" t="s">
        <v>306</v>
      </c>
      <c r="F26" s="7">
        <v>1</v>
      </c>
      <c r="G26" s="1" t="s">
        <v>126</v>
      </c>
      <c r="H26" s="8">
        <v>1770.0125</v>
      </c>
      <c r="I26" s="7">
        <f t="shared" si="2"/>
        <v>1770.0125</v>
      </c>
      <c r="J26" s="1" t="s">
        <v>255</v>
      </c>
      <c r="K26" s="10">
        <v>43412</v>
      </c>
      <c r="L26" s="1" t="s">
        <v>256</v>
      </c>
    </row>
    <row r="27" ht="12.75" spans="1:12">
      <c r="A27" s="1">
        <v>26</v>
      </c>
      <c r="B27" s="1" t="s">
        <v>252</v>
      </c>
      <c r="C27" s="1" t="s">
        <v>36</v>
      </c>
      <c r="D27" s="1" t="s">
        <v>183</v>
      </c>
      <c r="E27" s="1" t="s">
        <v>307</v>
      </c>
      <c r="F27" s="7">
        <v>1</v>
      </c>
      <c r="G27" s="1" t="s">
        <v>126</v>
      </c>
      <c r="H27" s="8">
        <v>2301.0125</v>
      </c>
      <c r="I27" s="7">
        <f t="shared" si="2"/>
        <v>2301.0125</v>
      </c>
      <c r="J27" s="1" t="s">
        <v>255</v>
      </c>
      <c r="K27" s="10">
        <v>43412</v>
      </c>
      <c r="L27" s="1" t="s">
        <v>256</v>
      </c>
    </row>
    <row r="28" ht="12.75" spans="1:12">
      <c r="A28" s="1">
        <v>27</v>
      </c>
      <c r="B28" s="1" t="s">
        <v>252</v>
      </c>
      <c r="C28" s="1" t="s">
        <v>36</v>
      </c>
      <c r="D28" s="1" t="s">
        <v>308</v>
      </c>
      <c r="E28" s="1" t="s">
        <v>309</v>
      </c>
      <c r="F28" s="7">
        <v>1</v>
      </c>
      <c r="G28" s="1" t="s">
        <v>126</v>
      </c>
      <c r="H28" s="8">
        <v>1681.0125</v>
      </c>
      <c r="I28" s="7">
        <f t="shared" si="2"/>
        <v>1681.0125</v>
      </c>
      <c r="J28" s="1" t="s">
        <v>255</v>
      </c>
      <c r="K28" s="10">
        <v>43412</v>
      </c>
      <c r="L28" s="1" t="s">
        <v>256</v>
      </c>
    </row>
    <row r="29" ht="12.75" spans="1:12">
      <c r="A29" s="1">
        <v>28</v>
      </c>
      <c r="B29" s="1" t="s">
        <v>249</v>
      </c>
      <c r="C29" s="1" t="s">
        <v>35</v>
      </c>
      <c r="D29" s="6" t="s">
        <v>291</v>
      </c>
      <c r="E29" s="1" t="s">
        <v>310</v>
      </c>
      <c r="F29" s="7">
        <v>1</v>
      </c>
      <c r="G29" s="1" t="s">
        <v>126</v>
      </c>
      <c r="H29" s="7">
        <v>1300</v>
      </c>
      <c r="I29" s="7">
        <f t="shared" si="2"/>
        <v>1300</v>
      </c>
      <c r="J29" s="1" t="s">
        <v>76</v>
      </c>
      <c r="K29" s="10">
        <v>43412</v>
      </c>
      <c r="L29" s="1" t="s">
        <v>256</v>
      </c>
    </row>
    <row r="30" ht="12.75" spans="1:12">
      <c r="A30" s="1">
        <v>29</v>
      </c>
      <c r="B30" s="1" t="s">
        <v>252</v>
      </c>
      <c r="C30" s="1" t="s">
        <v>36</v>
      </c>
      <c r="D30" s="6" t="s">
        <v>302</v>
      </c>
      <c r="E30" s="1" t="s">
        <v>303</v>
      </c>
      <c r="F30" s="7">
        <v>2</v>
      </c>
      <c r="G30" s="1" t="s">
        <v>126</v>
      </c>
      <c r="H30" s="7">
        <v>4200</v>
      </c>
      <c r="I30" s="7">
        <f t="shared" si="2"/>
        <v>2100</v>
      </c>
      <c r="J30" s="1" t="s">
        <v>76</v>
      </c>
      <c r="K30" s="9">
        <v>43419</v>
      </c>
      <c r="L30" s="1" t="s">
        <v>256</v>
      </c>
    </row>
    <row r="31" ht="12.75" spans="1:12">
      <c r="A31" s="1">
        <v>30</v>
      </c>
      <c r="B31" s="1" t="s">
        <v>252</v>
      </c>
      <c r="C31" s="1" t="s">
        <v>162</v>
      </c>
      <c r="D31" s="1" t="s">
        <v>311</v>
      </c>
      <c r="E31" s="1" t="s">
        <v>312</v>
      </c>
      <c r="F31" s="7">
        <v>1</v>
      </c>
      <c r="G31" s="1" t="s">
        <v>126</v>
      </c>
      <c r="H31" s="7">
        <v>1300</v>
      </c>
      <c r="I31" s="7">
        <f t="shared" si="2"/>
        <v>1300</v>
      </c>
      <c r="J31" s="1" t="s">
        <v>76</v>
      </c>
      <c r="K31" s="9">
        <v>43419</v>
      </c>
      <c r="L31" s="1" t="s">
        <v>256</v>
      </c>
    </row>
    <row r="32" ht="12.75" spans="1:12">
      <c r="A32" s="1">
        <v>31</v>
      </c>
      <c r="B32" s="1" t="s">
        <v>252</v>
      </c>
      <c r="C32" s="1" t="s">
        <v>36</v>
      </c>
      <c r="D32" s="1" t="s">
        <v>183</v>
      </c>
      <c r="E32" s="1" t="s">
        <v>313</v>
      </c>
      <c r="F32" s="7">
        <v>1</v>
      </c>
      <c r="G32" s="1" t="s">
        <v>126</v>
      </c>
      <c r="H32" s="7">
        <v>6798</v>
      </c>
      <c r="I32" s="7">
        <f t="shared" si="2"/>
        <v>6798</v>
      </c>
      <c r="J32" s="1" t="s">
        <v>91</v>
      </c>
      <c r="K32" s="9">
        <v>43419</v>
      </c>
      <c r="L32" s="1" t="s">
        <v>256</v>
      </c>
    </row>
    <row r="33" ht="12.75" spans="1:12">
      <c r="A33" s="1">
        <v>32</v>
      </c>
      <c r="B33" s="1" t="s">
        <v>252</v>
      </c>
      <c r="C33" s="1" t="s">
        <v>35</v>
      </c>
      <c r="D33" s="1" t="s">
        <v>291</v>
      </c>
      <c r="E33" s="1" t="s">
        <v>314</v>
      </c>
      <c r="F33" s="7">
        <v>2</v>
      </c>
      <c r="G33" s="1" t="s">
        <v>315</v>
      </c>
      <c r="H33" s="7">
        <v>2990</v>
      </c>
      <c r="I33" s="7">
        <f t="shared" si="2"/>
        <v>1495</v>
      </c>
      <c r="J33" s="1" t="s">
        <v>316</v>
      </c>
      <c r="K33" s="10">
        <v>43479</v>
      </c>
      <c r="L33" s="1" t="s">
        <v>256</v>
      </c>
    </row>
    <row r="34" ht="12.75" spans="1:12">
      <c r="A34" s="1">
        <v>33</v>
      </c>
      <c r="B34" s="1" t="s">
        <v>252</v>
      </c>
      <c r="C34" s="1" t="s">
        <v>36</v>
      </c>
      <c r="D34" s="1" t="s">
        <v>317</v>
      </c>
      <c r="E34" s="1" t="s">
        <v>318</v>
      </c>
      <c r="F34" s="7">
        <v>1</v>
      </c>
      <c r="G34" s="1" t="s">
        <v>126</v>
      </c>
      <c r="H34" s="8">
        <f>2345.13+(2345.13*0.13)</f>
        <v>2649.9969</v>
      </c>
      <c r="I34" s="7">
        <f t="shared" si="2"/>
        <v>2649.9969</v>
      </c>
      <c r="J34" s="1" t="s">
        <v>319</v>
      </c>
      <c r="K34" s="1"/>
      <c r="L34" s="1" t="s">
        <v>256</v>
      </c>
    </row>
    <row r="35" ht="12.75" spans="1:12">
      <c r="A35" s="1">
        <v>34</v>
      </c>
      <c r="B35" s="1" t="s">
        <v>320</v>
      </c>
      <c r="C35" s="1" t="s">
        <v>321</v>
      </c>
      <c r="D35" s="1" t="s">
        <v>322</v>
      </c>
      <c r="E35" s="1" t="s">
        <v>323</v>
      </c>
      <c r="F35" s="7">
        <v>6</v>
      </c>
      <c r="G35" s="1" t="s">
        <v>126</v>
      </c>
      <c r="H35" s="7">
        <v>10000</v>
      </c>
      <c r="I35" s="7">
        <f t="shared" si="2"/>
        <v>1666.66666666667</v>
      </c>
      <c r="J35" s="1" t="s">
        <v>324</v>
      </c>
      <c r="K35" s="1"/>
      <c r="L35" s="1" t="s">
        <v>256</v>
      </c>
    </row>
    <row r="36" ht="12.75" spans="1:12">
      <c r="A36" s="1">
        <v>35</v>
      </c>
      <c r="B36" s="1" t="s">
        <v>252</v>
      </c>
      <c r="C36" s="1" t="s">
        <v>183</v>
      </c>
      <c r="D36" s="1" t="s">
        <v>325</v>
      </c>
      <c r="E36" s="1"/>
      <c r="F36" s="7">
        <v>3200</v>
      </c>
      <c r="G36" s="1" t="s">
        <v>326</v>
      </c>
      <c r="H36" s="1">
        <v>3600</v>
      </c>
      <c r="I36" s="1"/>
      <c r="J36" s="1" t="s">
        <v>327</v>
      </c>
      <c r="K36" s="1"/>
      <c r="L36" s="1" t="s">
        <v>256</v>
      </c>
    </row>
    <row r="37" ht="12.75" spans="1:12">
      <c r="A37" s="1">
        <v>36</v>
      </c>
      <c r="B37" s="1" t="s">
        <v>252</v>
      </c>
      <c r="C37" s="1" t="s">
        <v>183</v>
      </c>
      <c r="D37" s="1" t="s">
        <v>328</v>
      </c>
      <c r="E37" s="1"/>
      <c r="F37" s="7">
        <v>8</v>
      </c>
      <c r="G37" s="1" t="s">
        <v>126</v>
      </c>
      <c r="H37" s="1">
        <v>2000</v>
      </c>
      <c r="I37" s="1"/>
      <c r="J37" s="1" t="s">
        <v>327</v>
      </c>
      <c r="K37" s="1"/>
      <c r="L37" s="1" t="s">
        <v>256</v>
      </c>
    </row>
    <row r="38" ht="12.75" spans="1:12">
      <c r="A38" s="1">
        <v>37</v>
      </c>
      <c r="B38" s="1" t="s">
        <v>252</v>
      </c>
      <c r="C38" s="1" t="s">
        <v>183</v>
      </c>
      <c r="D38" s="1" t="s">
        <v>329</v>
      </c>
      <c r="E38" s="1"/>
      <c r="F38" s="7">
        <v>4</v>
      </c>
      <c r="G38" s="1" t="s">
        <v>126</v>
      </c>
      <c r="H38" s="1">
        <v>1200</v>
      </c>
      <c r="I38" s="1"/>
      <c r="J38" s="1" t="s">
        <v>327</v>
      </c>
      <c r="K38" s="1"/>
      <c r="L38" s="1" t="s">
        <v>256</v>
      </c>
    </row>
    <row r="39" ht="12.75" spans="1:1">
      <c r="A39" s="1">
        <v>38</v>
      </c>
    </row>
  </sheetData>
  <autoFilter ref="A1:L39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X4"/>
  <sheetViews>
    <sheetView workbookViewId="0">
      <selection activeCell="A1" sqref="A1"/>
    </sheetView>
  </sheetViews>
  <sheetFormatPr defaultColWidth="14.4333333333333" defaultRowHeight="15.75" customHeight="true" outlineLevelRow="3"/>
  <cols>
    <col min="1" max="1" width="5.29166666666667" customWidth="true"/>
    <col min="2" max="2" width="4.70833333333333" customWidth="true"/>
    <col min="3" max="3" width="3.56666666666667" customWidth="true"/>
    <col min="4" max="4" width="10.4333333333333" customWidth="true"/>
    <col min="5" max="5" width="7.14166666666667" customWidth="true"/>
    <col min="6" max="6" width="13.7083333333333" customWidth="true"/>
    <col min="7" max="7" width="10.2916666666667" customWidth="true"/>
    <col min="8" max="8" width="6" customWidth="true"/>
    <col min="9" max="9" width="4.70833333333333" customWidth="true"/>
    <col min="10" max="10" width="3.56666666666667" customWidth="true"/>
    <col min="11" max="11" width="9.43333333333333" customWidth="true"/>
  </cols>
  <sheetData>
    <row r="1" ht="12.75" spans="1:24">
      <c r="A1" s="3" t="s">
        <v>1</v>
      </c>
      <c r="B1" s="3" t="s">
        <v>2</v>
      </c>
      <c r="C1" s="3" t="s">
        <v>3</v>
      </c>
      <c r="D1" s="3" t="s">
        <v>4</v>
      </c>
      <c r="E1" s="3" t="s">
        <v>236</v>
      </c>
      <c r="F1" s="3" t="s">
        <v>11</v>
      </c>
      <c r="G1" s="3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2.75" spans="1:12">
      <c r="A2" s="1">
        <v>2017</v>
      </c>
      <c r="B2" s="1">
        <v>12</v>
      </c>
      <c r="C2" s="1">
        <v>26</v>
      </c>
      <c r="D2" s="2">
        <f t="shared" ref="D2:D4" si="0">DATE(A2,B2,C2)</f>
        <v>43095</v>
      </c>
      <c r="E2" s="1" t="s">
        <v>238</v>
      </c>
      <c r="F2" s="1" t="s">
        <v>330</v>
      </c>
      <c r="G2" s="1">
        <v>42893.3</v>
      </c>
      <c r="H2" s="1">
        <v>2019</v>
      </c>
      <c r="I2" s="1">
        <v>8</v>
      </c>
      <c r="J2" s="1">
        <v>1</v>
      </c>
      <c r="K2" s="2">
        <f t="shared" ref="K2:K4" si="1">DATE(H2,I2,J2)</f>
        <v>43678</v>
      </c>
      <c r="L2" s="1">
        <v>42895</v>
      </c>
    </row>
    <row r="3" ht="12.75" spans="1:12">
      <c r="A3" s="1">
        <v>2017</v>
      </c>
      <c r="B3" s="1">
        <v>12</v>
      </c>
      <c r="C3" s="1">
        <v>26</v>
      </c>
      <c r="D3" s="2">
        <f t="shared" si="0"/>
        <v>43095</v>
      </c>
      <c r="E3" s="1" t="s">
        <v>239</v>
      </c>
      <c r="F3" s="1" t="s">
        <v>330</v>
      </c>
      <c r="G3" s="1">
        <f>81577.24-20000-2400</f>
        <v>59177.24</v>
      </c>
      <c r="H3" s="1">
        <v>2019</v>
      </c>
      <c r="I3" s="1">
        <v>8</v>
      </c>
      <c r="J3" s="1">
        <v>1</v>
      </c>
      <c r="K3" s="2">
        <f t="shared" si="1"/>
        <v>43678</v>
      </c>
      <c r="L3" s="1">
        <v>59180</v>
      </c>
    </row>
    <row r="4" ht="12.75" spans="1:12">
      <c r="A4" s="1">
        <v>2019</v>
      </c>
      <c r="B4" s="1">
        <v>7</v>
      </c>
      <c r="C4" s="1">
        <v>31</v>
      </c>
      <c r="D4" s="2">
        <f t="shared" si="0"/>
        <v>43677</v>
      </c>
      <c r="E4" s="1" t="s">
        <v>331</v>
      </c>
      <c r="F4" s="1" t="s">
        <v>332</v>
      </c>
      <c r="G4" s="1">
        <v>9000</v>
      </c>
      <c r="H4" s="1">
        <v>2019</v>
      </c>
      <c r="I4" s="1">
        <v>8</v>
      </c>
      <c r="J4" s="1">
        <v>1</v>
      </c>
      <c r="K4" s="2">
        <f t="shared" si="1"/>
        <v>43678</v>
      </c>
      <c r="L4" s="1">
        <v>9000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Y13"/>
  <sheetViews>
    <sheetView workbookViewId="0">
      <selection activeCell="A1" sqref="A1"/>
    </sheetView>
  </sheetViews>
  <sheetFormatPr defaultColWidth="14.4333333333333" defaultRowHeight="15.75" customHeight="true"/>
  <cols>
    <col min="1" max="1" width="5.29166666666667" customWidth="true"/>
    <col min="2" max="2" width="4.70833333333333" customWidth="true"/>
    <col min="3" max="3" width="3.56666666666667" customWidth="true"/>
    <col min="4" max="4" width="9.43333333333333" customWidth="true"/>
    <col min="5" max="7" width="6.29166666666667" customWidth="true"/>
    <col min="8" max="10" width="5.29166666666667" customWidth="true"/>
    <col min="11" max="12" width="4.29166666666667" customWidth="true"/>
    <col min="13" max="13" width="3.14166666666667" customWidth="true"/>
    <col min="14" max="14" width="8.43333333333333" customWidth="true"/>
    <col min="15" max="16" width="3.14166666666667" customWidth="true"/>
    <col min="17" max="25" width="7.29166666666667" customWidth="true"/>
  </cols>
  <sheetData>
    <row r="1" ht="12.75" spans="1:25">
      <c r="A1" s="1" t="s">
        <v>1</v>
      </c>
      <c r="B1" s="1" t="s">
        <v>2</v>
      </c>
      <c r="C1" s="1" t="s">
        <v>3</v>
      </c>
      <c r="D1" s="1" t="s">
        <v>4</v>
      </c>
      <c r="E1" s="1">
        <v>50000</v>
      </c>
      <c r="F1" s="1">
        <v>20000</v>
      </c>
      <c r="G1" s="1">
        <v>10000</v>
      </c>
      <c r="H1" s="1">
        <v>5000</v>
      </c>
      <c r="I1" s="1">
        <v>2000</v>
      </c>
      <c r="J1" s="1">
        <v>1000</v>
      </c>
      <c r="K1" s="1">
        <v>500</v>
      </c>
      <c r="L1" s="1">
        <v>100</v>
      </c>
      <c r="M1" s="1">
        <v>50</v>
      </c>
      <c r="N1" s="1">
        <v>25</v>
      </c>
      <c r="O1" s="1">
        <v>10</v>
      </c>
      <c r="P1" s="1">
        <v>5</v>
      </c>
      <c r="Q1" s="1" t="s">
        <v>333</v>
      </c>
      <c r="R1" s="1"/>
      <c r="S1" s="1"/>
      <c r="T1" s="1"/>
      <c r="U1" s="1"/>
      <c r="V1" s="1"/>
      <c r="W1" s="1"/>
      <c r="X1" s="1"/>
      <c r="Y1" s="1"/>
    </row>
    <row r="2" ht="12.75" spans="1:17">
      <c r="A2" s="1">
        <v>2019</v>
      </c>
      <c r="B2" s="1">
        <v>4</v>
      </c>
      <c r="C2" s="1">
        <v>5</v>
      </c>
      <c r="D2" s="2">
        <f t="shared" ref="D2:D13" si="0">DATE(A2,B2,C2)</f>
        <v>43560</v>
      </c>
      <c r="E2" s="1">
        <v>0</v>
      </c>
      <c r="F2" s="1">
        <v>0</v>
      </c>
      <c r="G2" s="1">
        <v>9</v>
      </c>
      <c r="H2" s="1">
        <v>5</v>
      </c>
      <c r="I2" s="1">
        <v>27</v>
      </c>
      <c r="J2" s="1">
        <v>30</v>
      </c>
      <c r="K2" s="1">
        <v>15</v>
      </c>
      <c r="L2" s="1">
        <v>155</v>
      </c>
      <c r="M2" s="1">
        <v>44</v>
      </c>
      <c r="N2" s="1">
        <v>30</v>
      </c>
      <c r="O2" s="1">
        <v>25</v>
      </c>
      <c r="P2" s="1">
        <v>13</v>
      </c>
      <c r="Q2">
        <f t="shared" ref="Q2:Q13" si="1">$E$1*E2+$F$1*F2+$G$1*G2+$H$1*H2+$I$1*I2+$J$1*J2+$K$1*K2+$L$1*L2+$M$1*M2+$N$1*N2+$O$1*O2+$P$1*P2</f>
        <v>225265</v>
      </c>
    </row>
    <row r="3" ht="12.75" spans="1:17">
      <c r="A3" s="1">
        <v>2019</v>
      </c>
      <c r="B3" s="1">
        <v>5</v>
      </c>
      <c r="C3" s="1">
        <v>9</v>
      </c>
      <c r="D3" s="2">
        <f t="shared" si="0"/>
        <v>43594</v>
      </c>
      <c r="E3" s="1">
        <v>0</v>
      </c>
      <c r="F3" s="1">
        <v>0</v>
      </c>
      <c r="G3" s="1">
        <v>6</v>
      </c>
      <c r="H3" s="1">
        <v>8</v>
      </c>
      <c r="I3" s="1">
        <v>21</v>
      </c>
      <c r="J3" s="1">
        <v>30</v>
      </c>
      <c r="K3" s="1">
        <v>9</v>
      </c>
      <c r="L3" s="1">
        <v>144</v>
      </c>
      <c r="M3" s="1">
        <v>46</v>
      </c>
      <c r="N3" s="1">
        <v>38</v>
      </c>
      <c r="O3" s="1">
        <v>25</v>
      </c>
      <c r="P3" s="1">
        <v>13</v>
      </c>
      <c r="Q3">
        <f t="shared" si="1"/>
        <v>194465</v>
      </c>
    </row>
    <row r="4" ht="12.75" spans="1:17">
      <c r="A4" s="1">
        <v>2019</v>
      </c>
      <c r="B4" s="1">
        <v>8</v>
      </c>
      <c r="C4" s="1">
        <v>1</v>
      </c>
      <c r="D4" s="2">
        <f t="shared" si="0"/>
        <v>43678</v>
      </c>
      <c r="E4" s="1">
        <v>0</v>
      </c>
      <c r="F4" s="1">
        <v>0</v>
      </c>
      <c r="G4" s="1">
        <v>11</v>
      </c>
      <c r="H4" s="1">
        <v>10</v>
      </c>
      <c r="I4" s="1">
        <v>30</v>
      </c>
      <c r="J4" s="1">
        <v>36</v>
      </c>
      <c r="K4" s="1">
        <v>11</v>
      </c>
      <c r="L4" s="1">
        <v>166</v>
      </c>
      <c r="M4" s="1">
        <v>55</v>
      </c>
      <c r="N4" s="1">
        <v>40</v>
      </c>
      <c r="O4" s="1">
        <v>28</v>
      </c>
      <c r="P4" s="1">
        <v>19</v>
      </c>
      <c r="Q4">
        <f t="shared" si="1"/>
        <v>282225</v>
      </c>
    </row>
    <row r="5" ht="12.75" spans="1:17">
      <c r="A5" s="1">
        <v>2019</v>
      </c>
      <c r="B5" s="1">
        <v>8</v>
      </c>
      <c r="C5" s="1">
        <v>2</v>
      </c>
      <c r="D5" s="2">
        <f t="shared" si="0"/>
        <v>43679</v>
      </c>
      <c r="E5" s="1">
        <v>0</v>
      </c>
      <c r="F5" s="1">
        <v>0</v>
      </c>
      <c r="G5" s="1">
        <v>4</v>
      </c>
      <c r="H5" s="1">
        <v>5</v>
      </c>
      <c r="I5" s="1">
        <v>24</v>
      </c>
      <c r="J5" s="1">
        <v>35</v>
      </c>
      <c r="K5" s="1">
        <v>9</v>
      </c>
      <c r="L5" s="1">
        <v>162</v>
      </c>
      <c r="M5" s="1">
        <v>53</v>
      </c>
      <c r="N5" s="1">
        <v>38</v>
      </c>
      <c r="O5" s="1">
        <v>26</v>
      </c>
      <c r="P5" s="1">
        <v>18</v>
      </c>
      <c r="Q5">
        <f t="shared" si="1"/>
        <v>172650</v>
      </c>
    </row>
    <row r="6" ht="12.75" spans="1:17">
      <c r="A6" s="1">
        <v>2019</v>
      </c>
      <c r="B6" s="1">
        <v>10</v>
      </c>
      <c r="C6" s="1">
        <v>12</v>
      </c>
      <c r="D6" s="2">
        <f t="shared" si="0"/>
        <v>43750</v>
      </c>
      <c r="E6" s="1">
        <v>0</v>
      </c>
      <c r="F6" s="1">
        <v>1</v>
      </c>
      <c r="G6" s="1">
        <v>3</v>
      </c>
      <c r="H6" s="1">
        <v>9</v>
      </c>
      <c r="I6" s="1">
        <v>40</v>
      </c>
      <c r="J6" s="1">
        <v>48</v>
      </c>
      <c r="K6" s="1">
        <v>13</v>
      </c>
      <c r="L6" s="1">
        <v>170</v>
      </c>
      <c r="M6" s="1">
        <v>56</v>
      </c>
      <c r="N6" s="1">
        <v>40</v>
      </c>
      <c r="O6" s="1">
        <v>29</v>
      </c>
      <c r="P6" s="1">
        <v>22</v>
      </c>
      <c r="Q6">
        <f t="shared" si="1"/>
        <v>250700</v>
      </c>
    </row>
    <row r="7" ht="12.75" spans="1:17">
      <c r="A7" s="1">
        <v>2019</v>
      </c>
      <c r="B7" s="1">
        <v>10</v>
      </c>
      <c r="C7" s="1">
        <v>12</v>
      </c>
      <c r="D7" s="2">
        <f t="shared" si="0"/>
        <v>43750</v>
      </c>
      <c r="E7" s="1">
        <v>0</v>
      </c>
      <c r="F7" s="1">
        <v>0</v>
      </c>
      <c r="G7" s="1">
        <v>2</v>
      </c>
      <c r="H7" s="1">
        <v>7</v>
      </c>
      <c r="I7" s="1">
        <v>30</v>
      </c>
      <c r="J7" s="1">
        <v>36</v>
      </c>
      <c r="K7" s="1">
        <v>13</v>
      </c>
      <c r="L7" s="1">
        <v>166</v>
      </c>
      <c r="M7" s="1">
        <v>56</v>
      </c>
      <c r="N7" s="1">
        <v>40</v>
      </c>
      <c r="O7" s="1">
        <v>29</v>
      </c>
      <c r="P7" s="1">
        <v>22</v>
      </c>
      <c r="Q7">
        <f t="shared" si="1"/>
        <v>178300</v>
      </c>
    </row>
    <row r="8" ht="12.75" spans="1:17">
      <c r="A8" s="1">
        <v>2019</v>
      </c>
      <c r="B8" s="1">
        <v>11</v>
      </c>
      <c r="C8" s="1">
        <v>10</v>
      </c>
      <c r="D8" s="2">
        <f t="shared" si="0"/>
        <v>43779</v>
      </c>
      <c r="E8" s="1">
        <v>0</v>
      </c>
      <c r="F8" s="1">
        <v>0</v>
      </c>
      <c r="G8" s="1">
        <v>2</v>
      </c>
      <c r="H8" s="1">
        <v>7</v>
      </c>
      <c r="I8" s="1">
        <v>30</v>
      </c>
      <c r="J8" s="1">
        <v>36</v>
      </c>
      <c r="K8" s="1">
        <v>13</v>
      </c>
      <c r="L8" s="1">
        <v>166</v>
      </c>
      <c r="M8" s="1">
        <v>56</v>
      </c>
      <c r="N8" s="1">
        <v>40</v>
      </c>
      <c r="O8" s="1">
        <v>29</v>
      </c>
      <c r="P8" s="1">
        <v>22</v>
      </c>
      <c r="Q8">
        <f t="shared" si="1"/>
        <v>178300</v>
      </c>
    </row>
    <row r="9" ht="12.75" spans="1:17">
      <c r="A9" s="1">
        <v>2019</v>
      </c>
      <c r="B9" s="1">
        <v>12</v>
      </c>
      <c r="C9" s="1">
        <v>3</v>
      </c>
      <c r="D9" s="2">
        <f t="shared" si="0"/>
        <v>43802</v>
      </c>
      <c r="E9" s="1">
        <v>0</v>
      </c>
      <c r="F9" s="1">
        <v>0</v>
      </c>
      <c r="G9" s="1">
        <v>2</v>
      </c>
      <c r="H9" s="1">
        <v>7</v>
      </c>
      <c r="I9" s="1">
        <v>30</v>
      </c>
      <c r="J9" s="1">
        <v>36</v>
      </c>
      <c r="K9" s="1">
        <v>13</v>
      </c>
      <c r="L9" s="1">
        <v>166</v>
      </c>
      <c r="M9" s="1">
        <v>56</v>
      </c>
      <c r="N9" s="1">
        <v>40</v>
      </c>
      <c r="O9" s="1">
        <v>29</v>
      </c>
      <c r="P9" s="1">
        <v>22</v>
      </c>
      <c r="Q9">
        <f t="shared" si="1"/>
        <v>178300</v>
      </c>
    </row>
    <row r="10" ht="12.75" spans="1:17">
      <c r="A10" s="1">
        <v>2020</v>
      </c>
      <c r="B10" s="1">
        <v>1</v>
      </c>
      <c r="C10" s="1">
        <v>3</v>
      </c>
      <c r="D10" s="2">
        <f t="shared" si="0"/>
        <v>43833</v>
      </c>
      <c r="E10" s="1">
        <v>0</v>
      </c>
      <c r="F10" s="1">
        <v>1</v>
      </c>
      <c r="G10" s="1">
        <v>7</v>
      </c>
      <c r="H10" s="1">
        <v>12</v>
      </c>
      <c r="I10" s="1">
        <v>36</v>
      </c>
      <c r="J10" s="1">
        <v>25</v>
      </c>
      <c r="K10" s="1">
        <v>11</v>
      </c>
      <c r="L10" s="1">
        <v>176</v>
      </c>
      <c r="M10" s="1">
        <v>57</v>
      </c>
      <c r="N10" s="1">
        <v>40</v>
      </c>
      <c r="O10" s="1">
        <v>29</v>
      </c>
      <c r="P10" s="1">
        <v>23</v>
      </c>
      <c r="Q10">
        <f t="shared" si="1"/>
        <v>274355</v>
      </c>
    </row>
    <row r="11" ht="12.75" spans="4:17">
      <c r="D11" s="2" t="e">
        <f t="shared" si="0"/>
        <v>#NUM!</v>
      </c>
      <c r="Q11">
        <f t="shared" si="1"/>
        <v>0</v>
      </c>
    </row>
    <row r="12" ht="12.75" spans="4:17">
      <c r="D12" s="2" t="e">
        <f t="shared" si="0"/>
        <v>#NUM!</v>
      </c>
      <c r="Q12">
        <f t="shared" si="1"/>
        <v>0</v>
      </c>
    </row>
    <row r="13" ht="12.75" spans="4:17">
      <c r="D13" s="2" t="e">
        <f t="shared" si="0"/>
        <v>#NUM!</v>
      </c>
      <c r="Q13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Ventas</vt:lpstr>
      <vt:lpstr>Clientes</vt:lpstr>
      <vt:lpstr>Almacen</vt:lpstr>
      <vt:lpstr>articulos</vt:lpstr>
      <vt:lpstr>Planilla</vt:lpstr>
      <vt:lpstr>Herramientas</vt:lpstr>
      <vt:lpstr>Cuentas por pagar</vt:lpstr>
      <vt:lpstr>Efectivo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dcterms:created xsi:type="dcterms:W3CDTF">2020-12-02T19:12:00Z</dcterms:created>
  <dcterms:modified xsi:type="dcterms:W3CDTF">2020-12-10T22:24:08Z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