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_migration_try/template versions/"/>
    </mc:Choice>
  </mc:AlternateContent>
  <xr:revisionPtr revIDLastSave="1560" documentId="13_ncr:1_{94F889FC-E9D6-4F01-9F25-BB6C74FFAFD4}" xr6:coauthVersionLast="47" xr6:coauthVersionMax="47" xr10:uidLastSave="{C8C42E5B-4DD2-40C1-A36A-B42E67C69FF4}"/>
  <bookViews>
    <workbookView xWindow="-108" yWindow="-108" windowWidth="23256" windowHeight="13896" tabRatio="672" firstSheet="3" activeTab="4"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8" i="12"/>
  <c r="I29" i="12" l="1"/>
  <c r="I32" i="12"/>
  <c r="I33" i="12"/>
  <c r="I34" i="12"/>
  <c r="I35" i="12"/>
  <c r="I36" i="12"/>
  <c r="I37" i="12"/>
  <c r="J47" i="1" l="1"/>
  <c r="G47" i="1"/>
  <c r="G45" i="1"/>
  <c r="G46" i="1"/>
  <c r="G26" i="1"/>
  <c r="D51" i="12" l="1"/>
  <c r="D52" i="12" s="1"/>
  <c r="L30" i="1" a="1"/>
  <c r="L30" i="1" s="1"/>
  <c r="K31" i="1"/>
  <c r="K32" i="1"/>
  <c r="K33" i="1"/>
  <c r="K34" i="1"/>
  <c r="K35" i="1"/>
  <c r="K36" i="1"/>
  <c r="K37" i="1"/>
  <c r="K38" i="1"/>
  <c r="K39" i="1"/>
  <c r="K40" i="1"/>
  <c r="K41" i="1"/>
  <c r="K42" i="1"/>
  <c r="K43" i="1"/>
  <c r="K44" i="1"/>
  <c r="K30" i="1"/>
  <c r="G66" i="1"/>
  <c r="L59" i="1" l="1"/>
  <c r="D62" i="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D177" i="1" l="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D22" i="12"/>
  <c r="D12" i="12"/>
  <c r="D11" i="12" s="1"/>
  <c r="H10" i="12"/>
  <c r="C37" i="16" s="1"/>
  <c r="F3" i="12"/>
  <c r="F2" i="12"/>
  <c r="K124" i="3"/>
  <c r="H112" i="3"/>
  <c r="M244" i="1"/>
  <c r="C66" i="16" s="1"/>
  <c r="E169" i="1"/>
  <c r="G232" i="1"/>
  <c r="H149" i="3"/>
  <c r="H150" i="3"/>
  <c r="H148" i="3"/>
  <c r="C16" i="16"/>
  <c r="C15" i="16" s="1"/>
  <c r="I30" i="12" l="1"/>
  <c r="I31" i="12"/>
  <c r="H18" i="12"/>
  <c r="C38" i="16" s="1"/>
  <c r="C58" i="16"/>
  <c r="C40" i="16"/>
  <c r="C56" i="16"/>
  <c r="C41" i="16"/>
  <c r="C57" i="16"/>
  <c r="C48" i="16"/>
  <c r="H17" i="7"/>
  <c r="H154" i="3"/>
  <c r="F65" i="3"/>
  <c r="F64" i="3"/>
  <c r="F63" i="3"/>
  <c r="F62" i="3"/>
  <c r="F61" i="3"/>
  <c r="D6" i="9"/>
  <c r="H182" i="1"/>
  <c r="C32" i="16" s="1"/>
  <c r="E170" i="1"/>
  <c r="C29" i="16" s="1"/>
  <c r="F60" i="3"/>
  <c r="F43" i="3"/>
  <c r="F42" i="3"/>
  <c r="C39" i="16" l="1"/>
  <c r="C36" i="16" s="1"/>
  <c r="H131" i="3"/>
  <c r="K132" i="3"/>
  <c r="J45" i="1" l="1"/>
  <c r="D45" i="1"/>
  <c r="D46" i="1" s="1"/>
  <c r="G68" i="1" s="1"/>
  <c r="K45" i="1" l="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<sst xmlns="http://schemas.openxmlformats.org/spreadsheetml/2006/main" count="5388" uniqueCount="4845">
  <si>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</si>
  <si>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</si>
  <si>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</si>
  <si>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</si>
  <si>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</si>
  <si>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</si>
  <si>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</si>
  <si>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</si>
  <si>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</si>
  <si>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</si>
  <si>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</si>
  <si>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</si>
  <si>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</si>
  <si>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</si>
  <si>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</si>
  <si>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</si>
  <si>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</si>
  <si>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</si>
  <si>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</si>
  <si>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</si>
  <si>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</si>
  <si>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</si>
  <si>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</si>
  <si>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</si>
  <si>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</si>
  <si>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</si>
  <si>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</si>
  <si>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</si>
  <si>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</si>
  <si>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</si>
  <si>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</si>
  <si>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</si>
  <si>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</si>
  <si>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</si>
  <si>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</si>
  <si>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</si>
  <si>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</si>
  <si>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</si>
  <si>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</si>
  <si>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</si>
  <si>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</si>
  <si>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</si>
  <si>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</si>
  <si>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</si>
  <si>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</si>
  <si>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</si>
  <si>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</si>
  <si>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</si>
  <si>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</si>
  <si>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</si>
  <si>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</si>
  <si>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</si>
  <si>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</si>
  <si>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</si>
  <si>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</si>
  <si>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</si>
  <si>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</si>
  <si>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</si>
  <si>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</si>
  <si>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</si>
  <si>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</si>
  <si>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</si>
  <si>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</si>
  <si>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</si>
  <si>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</si>
  <si>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</si>
  <si>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</si>
  <si>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</si>
  <si>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</si>
  <si>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</si>
  <si>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</si>
  <si>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</si>
  <si>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</si>
  <si>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</si>
  <si>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</si>
  <si>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</si>
  <si>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</si>
  <si>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</si>
  <si>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</si>
  <si>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</si>
  <si>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</si>
  <si>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</si>
  <si>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</si>
  <si>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</si>
  <si>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</si>
  <si>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</si>
  <si>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</si>
  <si>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</si>
  <si>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</si>
  <si>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</si>
  <si>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</si>
  <si>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</si>
  <si>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</si>
  <si>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</si>
  <si>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</si>
  <si>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</si>
  <si>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</si>
  <si>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</si>
  <si>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</si>
  <si>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</si>
  <si>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</si>
  <si>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</si>
  <si>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</si>
  <si>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</si>
  <si>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</si>
  <si>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</si>
  <si>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</si>
  <si>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</si>
  <si>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</si>
  <si>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</si>
  <si>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</si>
  <si>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</si>
  <si>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</si>
  <si>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</si>
  <si>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</si>
  <si>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</si>
  <si>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</si>
  <si>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</si>
  <si>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</si>
  <si>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</si>
  <si>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</si>
  <si>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</si>
  <si>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</si>
  <si>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</si>
  <si>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</si>
  <si>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</si>
  <si>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</si>
  <si>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</si>
  <si>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</si>
  <si>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</si>
  <si>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</si>
  <si>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</si>
  <si>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</si>
  <si>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</si>
  <si>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</si>
  <si>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</si>
  <si>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</si>
  <si>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</si>
  <si>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</si>
  <si>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</si>
  <si>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</si>
  <si>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</si>
  <si>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</si>
  <si>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</si>
  <si>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</si>
  <si>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</si>
  <si>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</si>
  <si>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</si>
  <si>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</si>
  <si>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</si>
  <si>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</si>
  <si>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</si>
  <si>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</si>
  <si>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</si>
  <si>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</si>
  <si>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</si>
  <si>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</si>
  <si>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</si>
  <si>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</si>
  <si>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</si>
  <si>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</si>
  <si>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</si>
  <si>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</si>
  <si>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</si>
  <si>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</si>
  <si>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</si>
  <si>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</si>
  <si>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</si>
  <si>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</si>
  <si>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</si>
  <si>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</si>
  <si>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</si>
  <si>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</si>
  <si>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</si>
  <si>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</si>
  <si>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</si>
  <si>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</si>
  <si>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</si>
  <si>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</si>
  <si>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</si>
  <si>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</si>
  <si>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</si>
  <si>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</si>
  <si>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</si>
  <si>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</si>
  <si>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</si>
  <si>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</si>
  <si>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</si>
  <si>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</si>
  <si>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</si>
  <si>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</si>
  <si>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</si>
  <si>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</si>
  <si>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</si>
  <si>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</si>
  <si>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</si>
  <si>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</si>
  <si>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</si>
  <si>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</si>
  <si>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</si>
  <si>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</si>
  <si>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</si>
  <si>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</si>
  <si>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</si>
  <si>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</si>
  <si>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</si>
  <si>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</si>
  <si>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</si>
  <si>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</si>
  <si>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</si>
  <si>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</si>
  <si>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</si>
  <si>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</si>
  <si>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</si>
  <si>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</si>
  <si>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</si>
  <si>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</si>
  <si>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</si>
  <si>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</si>
  <si>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</si>
  <si>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</si>
  <si>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</si>
  <si>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</si>
  <si>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</si>
  <si>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</si>
  <si>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</si>
  <si>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</si>
  <si>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</si>
  <si>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</si>
  <si>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</si>
  <si>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</si>
  <si>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</si>
  <si>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</si>
  <si>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</si>
  <si>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</si>
  <si>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</si>
  <si>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</si>
  <si>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</si>
  <si>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</si>
  <si>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</si>
  <si>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</si>
  <si>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</si>
  <si>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</si>
  <si>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</si>
  <si>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</si>
  <si>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</si>
  <si>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</si>
  <si>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</si>
  <si>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</si>
  <si>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</si>
  <si>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</si>
  <si>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</si>
  <si>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</si>
  <si>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</si>
  <si>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</si>
  <si>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</si>
  <si>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</si>
  <si>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</si>
  <si>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</si>
  <si>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</si>
  <si>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</si>
  <si>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</si>
  <si>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</si>
  <si>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</si>
  <si>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</si>
  <si>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</si>
  <si>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</si>
  <si>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</si>
  <si>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</si>
  <si>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</si>
  <si>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</si>
  <si>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</si>
  <si>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</si>
  <si>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</si>
  <si>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</si>
  <si>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</si>
  <si>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</si>
  <si>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</si>
  <si>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</si>
  <si>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</si>
  <si>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</si>
  <si>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</si>
  <si>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</si>
  <si>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</si>
  <si>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</si>
  <si>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</si>
  <si>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</si>
  <si>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</si>
  <si>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</si>
  <si>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</si>
  <si>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</si>
  <si>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</si>
  <si>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</si>
  <si>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</si>
  <si>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</si>
  <si>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</si>
  <si>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</si>
  <si>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</si>
  <si>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</si>
  <si>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</si>
  <si>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</si>
  <si>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</si>
  <si>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</si>
  <si>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</si>
  <si>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</si>
  <si>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</si>
  <si>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</si>
  <si>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</si>
  <si>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</si>
  <si>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</si>
  <si>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</si>
  <si>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</si>
  <si>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</si>
  <si>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</si>
  <si>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</si>
  <si>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</si>
  <si>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</si>
  <si>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</si>
  <si>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</si>
  <si>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</si>
  <si>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</si>
  <si>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</si>
  <si>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</si>
  <si>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</si>
  <si>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</si>
  <si>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</si>
  <si>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</si>
  <si>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</si>
  <si>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</si>
  <si>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</si>
  <si>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</si>
  <si>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</si>
  <si>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</si>
  <si>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</si>
  <si>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</si>
  <si>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</si>
  <si>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</si>
  <si>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</si>
  <si>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</si>
  <si>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</si>
  <si>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</si>
  <si>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</si>
  <si>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</si>
  <si>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</si>
  <si>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</si>
  <si>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</si>
  <si>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</si>
  <si>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</si>
  <si>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</si>
  <si>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</si>
  <si>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</si>
  <si>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</si>
  <si>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</si>
  <si>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</si>
  <si>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</si>
  <si>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</si>
  <si>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</si>
  <si>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</si>
  <si>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</si>
  <si>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</si>
  <si>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</si>
  <si>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</si>
  <si>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</si>
  <si>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</si>
  <si>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</si>
  <si>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</si>
  <si>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</si>
  <si>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</si>
  <si>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</si>
  <si>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</si>
  <si>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</si>
  <si>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</si>
  <si>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</si>
  <si>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</si>
  <si>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</si>
  <si>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</si>
  <si>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</si>
  <si>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</si>
  <si>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</si>
  <si>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</si>
  <si>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</si>
  <si>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</si>
  <si>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</si>
  <si>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</si>
  <si>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</si>
  <si>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</si>
  <si>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</si>
  <si>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</si>
  <si>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</si>
  <si>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</si>
  <si>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</si>
  <si>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</si>
  <si>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</si>
  <si>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</si>
  <si>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</si>
  <si>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</si>
  <si>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</si>
  <si>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</si>
  <si>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</si>
  <si>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</si>
  <si>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</si>
  <si>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</si>
  <si>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</si>
  <si>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</si>
  <si>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</si>
  <si>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</si>
  <si>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</si>
  <si>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</si>
  <si>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</si>
  <si>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</si>
  <si>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</si>
  <si>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</si>
  <si>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</si>
  <si>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</si>
  <si>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</si>
  <si>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</si>
  <si>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</si>
  <si>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</si>
  <si>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</si>
  <si>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</si>
  <si>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</si>
  <si>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</si>
  <si>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</si>
  <si>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</si>
  <si>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</si>
  <si>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</si>
  <si>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</si>
  <si>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</si>
  <si>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</si>
  <si>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</si>
  <si>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</si>
  <si>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</si>
  <si>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</si>
  <si>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</si>
  <si>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</si>
  <si>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</si>
  <si>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</si>
  <si>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</si>
  <si>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</si>
  <si>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</si>
  <si>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</si>
  <si>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</si>
  <si>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</si>
  <si>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</si>
  <si>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</si>
  <si>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</si>
  <si>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</si>
  <si>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</si>
  <si>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</si>
  <si>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</si>
  <si>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</si>
  <si>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</si>
  <si>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</si>
  <si>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</si>
  <si>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</si>
  <si>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</si>
  <si>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</si>
  <si>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</si>
  <si>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</si>
  <si>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</si>
  <si>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</si>
  <si>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</si>
  <si>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</si>
  <si>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</si>
  <si>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</si>
  <si>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</si>
  <si>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</si>
  <si>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</si>
  <si>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</si>
  <si>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</si>
  <si>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</si>
  <si>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</si>
  <si>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</si>
  <si>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</si>
  <si>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</si>
  <si>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</si>
  <si>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</si>
  <si>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</si>
  <si>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</si>
  <si>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</si>
  <si>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</si>
  <si>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</si>
  <si>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</si>
  <si>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</si>
  <si>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</si>
  <si>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</si>
  <si>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</si>
  <si>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</si>
  <si>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</si>
  <si>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</si>
  <si>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</si>
  <si>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</si>
  <si>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</si>
  <si>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</si>
  <si>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</si>
  <si>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</si>
  <si>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</si>
  <si>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</si>
  <si>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</si>
  <si>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</si>
  <si>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</si>
  <si>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</si>
  <si>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</si>
  <si>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</si>
  <si>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</si>
  <si>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</si>
  <si>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</si>
  <si>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</si>
  <si>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</si>
  <si>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</si>
  <si>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</si>
  <si>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</si>
  <si>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</si>
  <si>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</si>
  <si>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</si>
  <si>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</si>
  <si>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</si>
  <si>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</si>
  <si>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</si>
  <si>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</si>
  <si>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</si>
  <si>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</si>
  <si>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</si>
  <si>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</si>
  <si>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</si>
  <si>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</si>
  <si>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</si>
  <si>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</si>
  <si>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</si>
  <si>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</si>
  <si>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</si>
  <si>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</si>
  <si>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</si>
  <si>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</si>
  <si>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</si>
  <si>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</si>
  <si>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</si>
  <si>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</si>
  <si>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</si>
  <si>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</si>
  <si>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</si>
  <si>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</si>
  <si>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</si>
  <si>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</si>
  <si>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</si>
  <si>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</si>
  <si>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</si>
  <si>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</si>
  <si>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</si>
  <si>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</si>
  <si>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</si>
  <si>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</si>
  <si>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</si>
  <si>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</si>
  <si>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</si>
  <si>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</si>
  <si>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</si>
  <si>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</si>
  <si>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</si>
  <si>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</si>
  <si>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</si>
  <si>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</si>
  <si>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</si>
  <si>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</si>
  <si>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</si>
  <si>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</si>
  <si>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</si>
  <si>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</si>
  <si>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</si>
  <si>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</si>
  <si>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</si>
  <si>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</si>
  <si>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</si>
  <si>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</si>
  <si>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</si>
  <si>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</si>
  <si>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</si>
  <si>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</si>
  <si>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</si>
  <si>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</si>
  <si>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</si>
  <si>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</si>
  <si>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</si>
  <si>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</si>
  <si>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</si>
  <si>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</si>
  <si>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</si>
  <si>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</si>
  <si>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</si>
  <si>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</si>
  <si>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</si>
  <si>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</si>
  <si>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</si>
  <si>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</si>
  <si>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</si>
  <si>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</si>
  <si>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</si>
  <si>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</si>
  <si>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</si>
  <si>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</si>
  <si>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</si>
  <si>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</si>
  <si>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</si>
  <si>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</si>
  <si>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</si>
  <si>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</si>
  <si>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</si>
  <si>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</si>
  <si>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</si>
  <si>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</si>
  <si>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</si>
  <si>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</si>
  <si>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</si>
  <si>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</si>
  <si>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</si>
  <si>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</si>
  <si>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</si>
  <si>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</si>
  <si>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</si>
  <si>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</si>
  <si>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</si>
  <si>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</si>
  <si>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</si>
  <si>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</si>
  <si>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</si>
  <si>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</si>
  <si>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</si>
  <si>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</si>
  <si>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</si>
  <si>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</si>
  <si>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</si>
  <si>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</si>
  <si>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</si>
  <si>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</si>
  <si>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</si>
  <si>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</si>
  <si>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</si>
  <si>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</si>
  <si>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</si>
  <si>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</si>
  <si>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</si>
  <si>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</si>
  <si>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</si>
  <si>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</si>
  <si>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</si>
  <si>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</si>
  <si>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</si>
  <si>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</si>
  <si>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</si>
  <si>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</si>
  <si>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</si>
  <si>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</si>
  <si>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</si>
  <si>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</si>
  <si>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</si>
  <si>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</si>
  <si>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</si>
  <si>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</si>
  <si>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</si>
  <si>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</si>
  <si>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</si>
  <si>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</si>
  <si>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</si>
  <si>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</si>
  <si>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</si>
  <si>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</si>
  <si>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</si>
  <si>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</si>
  <si>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</si>
  <si>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</si>
  <si>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</si>
  <si>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</si>
  <si>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</si>
  <si>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</si>
  <si>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</si>
  <si>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</si>
  <si>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</si>
  <si>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</si>
  <si>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</si>
  <si>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</si>
  <si>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</si>
  <si>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</si>
  <si>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</si>
  <si>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</si>
  <si>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</si>
  <si>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</si>
  <si>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</si>
  <si>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</si>
  <si>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</si>
  <si>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</si>
  <si>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</si>
  <si>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</si>
  <si>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</si>
  <si>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</si>
  <si>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</si>
  <si>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</si>
  <si>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</si>
  <si>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</si>
  <si>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</si>
  <si>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</si>
  <si>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</si>
  <si>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</si>
  <si>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</si>
  <si>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</si>
  <si>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</si>
  <si>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</si>
  <si>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</si>
  <si>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</si>
  <si>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</si>
  <si>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</si>
  <si>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</si>
  <si>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</si>
  <si>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</si>
  <si>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</si>
  <si>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</si>
  <si>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</si>
  <si>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</si>
  <si>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</si>
  <si>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</si>
  <si>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</si>
  <si>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</si>
  <si>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</si>
  <si>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</si>
  <si>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</si>
  <si>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</si>
  <si>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</si>
  <si>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</si>
  <si>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</si>
  <si>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</si>
  <si>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</si>
  <si>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</si>
  <si>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</si>
  <si>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</si>
  <si>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</si>
  <si>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</si>
  <si>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</si>
  <si>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</si>
  <si>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</si>
  <si>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</si>
  <si>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</si>
  <si>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</si>
  <si>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</si>
  <si>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</si>
  <si>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</si>
  <si>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</si>
  <si>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</si>
  <si>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</si>
  <si>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</si>
  <si>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</si>
  <si>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</si>
  <si>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</si>
  <si>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</si>
  <si>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</si>
  <si>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</si>
  <si>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</si>
  <si>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</si>
  <si>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</si>
  <si>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</si>
  <si>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</si>
  <si>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</si>
  <si>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</si>
  <si>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</si>
  <si>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</si>
  <si>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</si>
  <si>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</si>
  <si>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</si>
  <si>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</si>
  <si>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</si>
  <si>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</si>
  <si>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</si>
  <si>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</si>
  <si>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</si>
  <si>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</si>
  <si>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</si>
  <si>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</si>
  <si>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</si>
  <si>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</si>
  <si>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</si>
  <si>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</si>
  <si>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</si>
  <si>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</si>
  <si>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</si>
  <si>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</si>
  <si>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</si>
  <si>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</si>
  <si>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</si>
  <si>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</si>
  <si>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</si>
  <si>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</si>
  <si>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</si>
  <si>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</si>
  <si>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</si>
  <si>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</si>
  <si>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</si>
  <si>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</si>
  <si>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</si>
  <si>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</si>
  <si>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</si>
  <si>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</si>
  <si>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</si>
  <si>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</si>
  <si>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</si>
  <si>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</si>
  <si>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</si>
  <si>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</si>
  <si>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</si>
  <si>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</si>
  <si>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</si>
  <si>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</si>
  <si>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</si>
  <si>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</si>
  <si>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</si>
  <si>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</si>
  <si>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</si>
  <si>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</si>
  <si>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</si>
  <si>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</si>
  <si>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</si>
  <si>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</si>
  <si>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</si>
  <si>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</si>
  <si>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</si>
  <si>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</si>
  <si>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</si>
  <si>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</si>
  <si>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</si>
  <si>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</si>
  <si>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</si>
  <si>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</si>
  <si>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</si>
  <si>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</si>
  <si>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</si>
  <si>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</si>
  <si>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</si>
  <si>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</si>
  <si>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</si>
  <si>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</si>
  <si>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</si>
  <si>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</si>
  <si>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</si>
  <si>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</si>
  <si>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</si>
  <si>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</si>
  <si>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</si>
  <si>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</si>
  <si>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</si>
  <si>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</si>
  <si>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</si>
  <si>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</si>
  <si>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</si>
  <si>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</si>
  <si>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</si>
  <si>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</si>
  <si>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</si>
  <si>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</si>
  <si>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</si>
  <si>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</si>
  <si>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</si>
  <si>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</si>
  <si>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</si>
  <si>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</si>
  <si>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</si>
  <si>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</si>
  <si>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</si>
  <si>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</si>
  <si>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</si>
  <si>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</si>
  <si>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</si>
  <si>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</si>
  <si>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</si>
  <si>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</si>
  <si>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</si>
  <si>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</si>
  <si>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</si>
  <si>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</si>
  <si>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</si>
  <si>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</si>
  <si>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</si>
  <si>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</si>
  <si>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</si>
  <si>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</si>
  <si>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</si>
  <si>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</si>
  <si>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</si>
  <si>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</si>
  <si>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</si>
  <si>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</si>
  <si>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</si>
  <si>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</si>
  <si>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</si>
  <si>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</si>
  <si>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</si>
  <si>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</si>
  <si>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</si>
  <si>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</si>
  <si>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</si>
  <si>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</si>
  <si>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</si>
  <si>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</si>
  <si>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</si>
  <si>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</si>
  <si>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</si>
  <si>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</si>
  <si>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</si>
  <si>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</si>
  <si>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</si>
  <si>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</si>
  <si>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</si>
  <si>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</si>
  <si>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</si>
  <si>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</si>
  <si>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</si>
  <si>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</si>
  <si>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</si>
  <si>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</si>
  <si>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</si>
  <si>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</si>
  <si>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</si>
  <si>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</si>
  <si>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</si>
  <si>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</si>
  <si>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</si>
  <si>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</si>
  <si>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</si>
  <si>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</si>
  <si>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</si>
  <si>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</si>
  <si>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</si>
  <si>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</si>
  <si>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</si>
  <si>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</si>
  <si>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</si>
  <si>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</si>
  <si>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</si>
  <si>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</si>
  <si>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</si>
  <si>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</si>
  <si>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</si>
  <si>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</si>
  <si>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</si>
  <si>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</si>
  <si>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</si>
  <si>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</si>
  <si>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</si>
  <si>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</si>
  <si>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</si>
  <si>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</si>
  <si>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</si>
  <si>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</si>
  <si>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</si>
  <si>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</si>
  <si>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</si>
  <si>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</si>
  <si>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</si>
  <si>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</si>
  <si>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</si>
  <si>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</si>
  <si>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</si>
  <si>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</si>
  <si>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</si>
  <si>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</si>
  <si>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</si>
  <si>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</si>
  <si>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</si>
  <si>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</si>
  <si>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</si>
  <si>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</si>
  <si>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</si>
  <si>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</si>
  <si>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</si>
  <si>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</si>
  <si>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</si>
  <si>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</si>
  <si>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</si>
  <si>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</si>
  <si>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</si>
  <si>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</si>
  <si>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</si>
  <si>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</si>
  <si>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</si>
  <si>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</si>
  <si>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</si>
  <si>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</si>
  <si>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</si>
  <si>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</si>
  <si>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</si>
  <si>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</si>
  <si>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</si>
  <si>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</si>
  <si>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</si>
  <si>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</si>
  <si>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</si>
  <si>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</si>
  <si>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</si>
  <si>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</si>
  <si>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</si>
  <si>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</si>
  <si>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</si>
  <si>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</si>
  <si>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</si>
  <si>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</si>
  <si>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</si>
  <si>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</si>
  <si>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</si>
  <si>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</si>
  <si>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</si>
  <si>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</si>
  <si>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</si>
  <si>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</si>
  <si>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</si>
  <si>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</si>
  <si>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</si>
  <si>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</si>
  <si>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</si>
  <si>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</si>
  <si>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</si>
  <si>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</si>
  <si>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</si>
  <si>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</si>
  <si>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</si>
  <si>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</si>
  <si>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</si>
  <si>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</si>
  <si>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</si>
  <si>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</si>
  <si>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</si>
  <si>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</si>
  <si>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</si>
  <si>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</si>
  <si>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</si>
  <si>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</si>
  <si>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</si>
  <si>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</si>
  <si>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</si>
  <si>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</si>
  <si>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</si>
  <si>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</si>
  <si>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</si>
  <si>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</si>
  <si>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</si>
  <si>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</si>
  <si>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</si>
  <si>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</si>
  <si>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</si>
  <si>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</si>
  <si>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</si>
  <si>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</si>
  <si>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</si>
  <si>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</si>
  <si>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</si>
  <si>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</si>
  <si>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</si>
  <si>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</si>
  <si>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</si>
  <si>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</si>
  <si>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</si>
  <si>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</si>
  <si>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</si>
  <si>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</si>
  <si>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</si>
  <si>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</si>
  <si>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</si>
  <si>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</si>
  <si>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</si>
  <si>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</si>
  <si>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</si>
  <si>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</si>
  <si>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</si>
  <si>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</si>
  <si>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</si>
  <si>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</si>
  <si>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</si>
  <si>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</si>
  <si>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</si>
  <si>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</si>
  <si>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</si>
  <si>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</si>
  <si>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</si>
  <si>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</si>
  <si>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</si>
  <si>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</si>
  <si>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</si>
  <si>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</si>
  <si>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</si>
  <si>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</si>
  <si>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</si>
  <si>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</si>
  <si>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</si>
  <si>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</si>
  <si>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</si>
  <si>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</si>
  <si>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</si>
  <si>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</si>
  <si>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</si>
  <si>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</si>
  <si>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</si>
  <si>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</si>
  <si>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</si>
  <si>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</si>
  <si>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</si>
  <si>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</si>
  <si>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</si>
  <si>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</si>
  <si>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</si>
  <si>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</si>
  <si>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</si>
  <si>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</si>
  <si>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</si>
  <si>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</si>
  <si>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</si>
  <si>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</si>
  <si>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</si>
  <si>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</si>
  <si>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</si>
  <si>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</si>
  <si>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</si>
  <si>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</si>
  <si>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</si>
  <si>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</si>
  <si>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</si>
  <si>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</si>
  <si>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</si>
  <si>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</si>
  <si>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</si>
  <si>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</si>
  <si>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</si>
  <si>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</si>
  <si>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</si>
  <si>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</si>
  <si>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</si>
  <si>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</si>
  <si>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</si>
  <si>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</si>
  <si>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</si>
  <si>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</si>
  <si>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</si>
  <si>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</si>
  <si>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</si>
  <si>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</si>
  <si>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</si>
  <si>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</si>
  <si>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</si>
  <si>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</si>
  <si>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</si>
  <si>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</si>
  <si>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</si>
  <si>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</si>
  <si>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</si>
  <si>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</si>
  <si>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</si>
  <si>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</si>
  <si>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</si>
  <si>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</si>
  <si>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</si>
  <si>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</si>
  <si>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</si>
  <si>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</si>
  <si>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</si>
  <si>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</si>
  <si>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</si>
  <si>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</si>
  <si>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</si>
  <si>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</si>
  <si>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</si>
  <si>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</si>
  <si>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</si>
  <si>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</si>
  <si>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</si>
  <si>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</si>
  <si>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</si>
  <si>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</si>
  <si>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</si>
  <si>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</si>
  <si>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</si>
  <si>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</si>
  <si>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</si>
  <si>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</si>
  <si>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</si>
  <si>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</si>
  <si>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</si>
  <si>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</si>
  <si>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</si>
  <si>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</si>
  <si>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</si>
  <si>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</si>
  <si>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</si>
  <si>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</si>
  <si>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</si>
  <si>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</si>
  <si>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</si>
  <si>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</si>
  <si>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</si>
  <si>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</si>
  <si>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</si>
  <si>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</si>
  <si>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</si>
  <si>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</si>
  <si>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</si>
  <si>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</si>
  <si>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</si>
  <si>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</si>
  <si>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</si>
  <si>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</si>
  <si>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</si>
  <si>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</si>
  <si>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</si>
  <si>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</si>
  <si>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</si>
  <si>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</si>
  <si>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</si>
  <si>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</si>
  <si>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</si>
  <si>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</si>
  <si>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</si>
  <si>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</si>
  <si>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</si>
  <si>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</si>
  <si>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</si>
  <si>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</si>
  <si>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</si>
  <si>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</si>
  <si>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</si>
  <si>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</si>
  <si>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</si>
  <si>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</si>
  <si>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</si>
  <si>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</si>
  <si>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</si>
  <si>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</si>
  <si>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</si>
  <si>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</si>
  <si>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</si>
  <si>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</si>
  <si>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</si>
  <si>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</si>
  <si>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</si>
  <si>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</si>
  <si>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</si>
  <si>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</si>
  <si>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</si>
  <si>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</si>
  <si>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</si>
  <si>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</si>
  <si>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</si>
  <si>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</si>
  <si>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</si>
  <si>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</si>
  <si>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</si>
  <si>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</si>
  <si>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</si>
  <si>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</si>
  <si>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</si>
  <si>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</si>
  <si>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</si>
  <si>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</si>
  <si>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</si>
  <si>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</si>
  <si>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</si>
  <si>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</si>
  <si>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</si>
  <si>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</si>
  <si>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</si>
  <si>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</si>
  <si>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</si>
  <si>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</si>
  <si>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</si>
  <si>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</si>
  <si>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</si>
  <si>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</si>
  <si>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</si>
  <si>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</si>
  <si>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</si>
  <si>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</si>
  <si>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</si>
  <si>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</si>
  <si>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</si>
  <si>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</si>
  <si>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</si>
  <si>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</si>
  <si>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</si>
  <si>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</si>
  <si>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</si>
  <si>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</si>
  <si>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</si>
  <si>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</si>
  <si>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</si>
  <si>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</si>
  <si>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</si>
  <si>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</si>
  <si>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</si>
  <si>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</si>
  <si>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</si>
  <si>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</si>
  <si>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</si>
  <si>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</si>
  <si>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</si>
  <si>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</si>
  <si>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</si>
  <si>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</si>
  <si>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</si>
  <si>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</si>
  <si>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</si>
  <si>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</si>
  <si>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</si>
  <si>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</si>
  <si>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</si>
  <si>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</si>
  <si>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</si>
  <si>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</si>
  <si>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</si>
  <si>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</si>
  <si>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</si>
  <si>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</si>
  <si>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</si>
  <si>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</si>
  <si>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</si>
  <si>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</si>
  <si>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</si>
  <si>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</si>
  <si>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</si>
  <si>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</si>
  <si>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</si>
  <si>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</si>
  <si>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</si>
  <si>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</si>
  <si>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</si>
  <si>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</si>
  <si>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</si>
  <si>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</si>
  <si>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</si>
  <si>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</si>
  <si>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</si>
  <si>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</si>
  <si>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</si>
  <si>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</si>
  <si>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</si>
  <si>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</si>
  <si>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</si>
  <si>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</si>
  <si>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</si>
  <si>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</si>
  <si>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</si>
  <si>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</si>
  <si>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</si>
  <si>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</si>
  <si>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</si>
  <si>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</si>
  <si>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</si>
  <si>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</si>
  <si>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</si>
  <si>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</si>
  <si>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</si>
  <si>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</si>
  <si>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</si>
  <si>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</si>
  <si>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</si>
  <si>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</si>
  <si>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</si>
  <si>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</si>
  <si>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</si>
  <si>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</si>
  <si>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</si>
  <si>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</si>
  <si>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</si>
  <si>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</si>
  <si>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</si>
  <si>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</si>
  <si>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</si>
  <si>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</si>
  <si>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</si>
  <si>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</si>
  <si>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</si>
  <si>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</si>
  <si>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</si>
  <si>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</si>
  <si>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</si>
  <si>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</si>
  <si>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</si>
  <si>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</si>
  <si>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</si>
  <si>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</si>
  <si>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</si>
  <si>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</si>
  <si>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</si>
  <si>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</si>
  <si>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</si>
  <si>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</si>
  <si>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</si>
  <si>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</si>
  <si>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</si>
  <si>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</si>
  <si>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</si>
  <si>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</si>
  <si>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</si>
  <si>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</si>
  <si>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</si>
  <si>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</si>
  <si>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</si>
  <si>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</si>
  <si>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</si>
  <si>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</si>
  <si>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</si>
  <si>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</si>
  <si>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</si>
  <si>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</si>
  <si>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</si>
  <si>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</si>
  <si>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</si>
  <si>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</si>
  <si>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</si>
  <si>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</si>
  <si>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</si>
  <si>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</si>
  <si>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</si>
  <si>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</si>
  <si>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</si>
  <si>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</si>
  <si>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</si>
  <si>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</si>
  <si>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</si>
  <si>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</si>
  <si>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</si>
  <si>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</si>
  <si>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</si>
  <si>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</si>
  <si>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</si>
  <si>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</si>
  <si>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</si>
  <si>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</si>
  <si>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</si>
  <si>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</si>
  <si>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</si>
  <si>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</si>
  <si>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</si>
  <si>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</si>
  <si>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</si>
  <si>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</si>
  <si>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</si>
  <si>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</si>
  <si>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</si>
  <si>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</si>
  <si>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</si>
  <si>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</si>
  <si>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</si>
  <si>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</si>
  <si>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</si>
  <si>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</si>
  <si>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</si>
  <si>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</si>
  <si>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</si>
  <si>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</si>
  <si>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</si>
  <si>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</si>
  <si>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</si>
  <si>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</si>
  <si>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</si>
  <si>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</si>
  <si>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</si>
  <si>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</si>
  <si>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</si>
  <si>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</si>
  <si>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</si>
  <si>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</si>
  <si>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</si>
  <si>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</si>
  <si>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</si>
  <si>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</si>
  <si>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</si>
  <si>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</si>
  <si>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</si>
  <si>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</si>
  <si>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</si>
  <si>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</si>
  <si>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</si>
  <si>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</si>
  <si>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</si>
  <si>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</si>
  <si>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</si>
  <si>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</si>
  <si>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</si>
  <si>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</si>
  <si>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</si>
  <si>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</si>
  <si>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</si>
  <si>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</si>
  <si>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</si>
  <si>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</si>
  <si>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</si>
  <si>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</si>
  <si>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</si>
  <si>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</si>
  <si>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</si>
  <si>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</si>
  <si>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</si>
  <si>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</si>
  <si>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</si>
  <si>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</si>
  <si>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</si>
  <si>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</si>
  <si>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</si>
  <si>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</si>
  <si>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</si>
  <si>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</si>
  <si>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</si>
  <si>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</si>
  <si>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</si>
  <si>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</si>
  <si>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</si>
  <si>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</si>
  <si>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</si>
  <si>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</si>
  <si>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</si>
  <si>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</si>
  <si>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</si>
  <si>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</si>
  <si>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</si>
  <si>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</si>
  <si>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</si>
  <si>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</si>
  <si>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</si>
  <si>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</si>
  <si>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</si>
  <si>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</si>
  <si>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</si>
  <si>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</si>
  <si>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</si>
  <si>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</si>
  <si>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</si>
  <si>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</si>
  <si>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</si>
  <si>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</si>
  <si>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</si>
  <si>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</si>
  <si>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</si>
  <si>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</si>
  <si>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</si>
  <si>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</si>
  <si>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</si>
  <si>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</si>
  <si>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</si>
  <si>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</si>
  <si>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</si>
  <si>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</si>
  <si>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</si>
  <si>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</si>
  <si>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</si>
  <si>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</si>
  <si>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</si>
  <si>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</si>
  <si>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</si>
  <si>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</si>
  <si>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</si>
  <si>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</si>
  <si>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</si>
  <si>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</si>
  <si>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</si>
  <si>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</si>
  <si>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</si>
  <si>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</si>
  <si>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</si>
  <si>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</si>
  <si>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</si>
  <si>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</si>
  <si>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</si>
  <si>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</si>
  <si>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</si>
  <si>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</si>
  <si>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</si>
  <si>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</si>
  <si>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</si>
  <si>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</si>
  <si>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</si>
  <si>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</si>
  <si>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</si>
  <si>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</si>
  <si>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</si>
  <si>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</si>
  <si>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</si>
  <si>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</si>
  <si>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</si>
  <si>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</si>
  <si>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</si>
  <si>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</si>
  <si>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</si>
  <si>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</si>
  <si>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</si>
  <si>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</si>
  <si>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</si>
  <si>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</si>
  <si>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</si>
  <si>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</si>
  <si>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</si>
  <si>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</si>
  <si>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</si>
  <si>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</si>
  <si>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</si>
  <si>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</si>
  <si>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</si>
  <si>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</si>
  <si>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</si>
  <si>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</si>
  <si>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</si>
  <si>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</si>
  <si>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</si>
  <si>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</si>
  <si>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</si>
  <si>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</si>
  <si>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</si>
  <si>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</si>
  <si>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</si>
  <si>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</si>
  <si>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</si>
  <si>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</si>
  <si>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</si>
  <si>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</si>
  <si>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</si>
  <si>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</si>
  <si>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</si>
  <si>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</si>
  <si>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</si>
  <si>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</si>
  <si>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</si>
  <si>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</si>
  <si>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</si>
  <si>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</si>
  <si>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</si>
  <si>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</si>
  <si>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</si>
  <si>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</si>
  <si>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</si>
  <si>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</si>
  <si>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</si>
  <si>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</si>
  <si>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</si>
  <si>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</si>
  <si>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</si>
  <si>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</si>
  <si>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</si>
  <si>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</si>
  <si>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</si>
  <si>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</si>
  <si>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</si>
  <si>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</si>
  <si>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</si>
  <si>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</si>
  <si>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</si>
  <si>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</si>
  <si>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</si>
  <si>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</si>
  <si>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</si>
  <si>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</si>
  <si>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</si>
  <si>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</si>
  <si>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</si>
  <si>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</si>
  <si>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</si>
  <si>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</si>
  <si>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</si>
  <si>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</si>
  <si>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</si>
  <si>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</si>
  <si>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</si>
  <si>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</si>
  <si>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</si>
  <si>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</si>
  <si>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</si>
  <si>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</si>
  <si>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</si>
  <si>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</si>
  <si>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</si>
  <si>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</si>
  <si>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</si>
  <si>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</si>
  <si>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</si>
  <si>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</si>
  <si>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</si>
  <si>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</si>
  <si>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</si>
  <si>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</si>
  <si>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</si>
  <si>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</si>
  <si>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</si>
  <si>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</si>
  <si>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</si>
  <si>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</si>
  <si>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</si>
  <si>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</si>
  <si>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</si>
  <si>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</si>
  <si>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</si>
  <si>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</si>
  <si>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</si>
  <si>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</si>
  <si>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</si>
  <si>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</si>
  <si>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</si>
  <si>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</si>
  <si>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</si>
  <si>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</si>
  <si>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</si>
  <si>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</si>
  <si>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</si>
  <si>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</si>
  <si>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</si>
  <si>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</si>
  <si>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</si>
  <si>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</si>
  <si>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</si>
  <si>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</si>
  <si>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</si>
  <si>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</si>
  <si>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</si>
  <si>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</si>
  <si>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</si>
  <si>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</si>
  <si>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</si>
  <si>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</si>
  <si>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</si>
  <si>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</si>
  <si>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</si>
  <si>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</si>
  <si>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</si>
  <si>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</si>
  <si>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</si>
  <si>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</si>
  <si>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</si>
  <si>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</si>
  <si>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</si>
  <si>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</si>
  <si>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</si>
  <si>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</si>
  <si>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</si>
  <si>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</si>
  <si>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</si>
  <si>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</si>
  <si>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</si>
  <si>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</si>
  <si>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</si>
  <si>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</si>
  <si>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</si>
  <si>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</si>
  <si>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</si>
  <si>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</si>
  <si>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</si>
  <si>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</si>
  <si>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</si>
  <si>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</si>
  <si>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</si>
  <si>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</si>
  <si>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</si>
  <si>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</si>
  <si>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</si>
  <si>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</si>
  <si>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</si>
  <si>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</si>
  <si>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</si>
  <si>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</si>
  <si>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</si>
  <si>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</si>
  <si>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</si>
  <si>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</si>
  <si>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</si>
  <si>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</si>
  <si>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</si>
  <si>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</si>
  <si>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</si>
  <si>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</si>
  <si>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</si>
  <si>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</si>
  <si>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</si>
  <si>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</si>
  <si>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</si>
  <si>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</si>
  <si>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</si>
  <si>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</si>
  <si>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</si>
  <si>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</si>
  <si>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</si>
  <si>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</si>
  <si>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</si>
  <si>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</si>
  <si>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</si>
  <si>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</si>
  <si>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</si>
  <si>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</si>
  <si>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</si>
  <si>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</si>
  <si>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</si>
  <si>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</si>
  <si>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</si>
  <si>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</si>
  <si>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</si>
  <si>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</si>
  <si>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</si>
  <si>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</si>
  <si>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</si>
  <si>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</si>
  <si>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</si>
  <si>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</si>
  <si>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</si>
  <si>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</si>
  <si>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</si>
  <si>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</si>
  <si>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</si>
  <si>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</si>
  <si>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</si>
  <si>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</si>
  <si>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</si>
  <si>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</si>
  <si>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</si>
  <si>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</si>
  <si>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</si>
  <si>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</si>
  <si>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</si>
  <si>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</si>
  <si>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</si>
  <si>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</si>
  <si>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</si>
  <si>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</si>
  <si>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</si>
  <si>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</si>
  <si>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</si>
  <si>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</si>
  <si>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</si>
  <si>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</si>
  <si>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</si>
  <si>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</si>
  <si>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</si>
  <si>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</si>
  <si>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</si>
  <si>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</si>
  <si>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</si>
  <si>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</si>
  <si>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</si>
  <si>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</si>
  <si>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</si>
  <si>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</si>
  <si>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</si>
  <si>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</si>
  <si>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</si>
  <si>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</si>
  <si>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</si>
  <si>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</si>
  <si>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</si>
  <si>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</si>
  <si>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</si>
  <si>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</si>
  <si>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</si>
  <si>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</si>
  <si>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</si>
  <si>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</si>
  <si>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</si>
  <si>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</si>
  <si>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</si>
  <si>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</si>
  <si>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</si>
  <si>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</si>
  <si>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</si>
  <si>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</si>
  <si>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</si>
  <si>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</si>
  <si>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</si>
  <si>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</si>
  <si>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</si>
  <si>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</si>
  <si>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</si>
  <si>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</si>
  <si>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</si>
  <si>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</si>
  <si>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</si>
  <si>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</si>
  <si>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</si>
  <si>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</si>
  <si>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</si>
  <si>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</si>
  <si>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</si>
  <si>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</si>
  <si>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</si>
  <si>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</si>
  <si>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</si>
  <si>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</si>
  <si>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</si>
  <si>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</si>
  <si>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</si>
  <si>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</si>
  <si>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</si>
  <si>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</si>
  <si>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</si>
  <si>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</si>
  <si>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</si>
  <si>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</si>
  <si>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</si>
  <si>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</si>
  <si>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</si>
  <si>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</si>
  <si>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</si>
  <si>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</si>
  <si>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</si>
  <si>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</si>
  <si>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</si>
  <si>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</si>
  <si>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</si>
  <si>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</si>
  <si>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</si>
  <si>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</si>
  <si>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</si>
  <si>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</si>
  <si>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</si>
  <si>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</si>
  <si>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</si>
  <si>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</si>
  <si>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</si>
  <si>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</si>
  <si>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</si>
  <si>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</si>
  <si>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</si>
  <si>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</si>
  <si>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</si>
  <si>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</si>
  <si>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</si>
  <si>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</si>
  <si>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</si>
  <si>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</si>
  <si>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</si>
  <si>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</si>
  <si>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</si>
  <si>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</si>
  <si>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</si>
  <si>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</si>
  <si>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</si>
  <si>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</si>
  <si>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</si>
  <si>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</si>
  <si>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</si>
  <si>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</si>
  <si>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</si>
  <si>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</si>
  <si>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</si>
  <si>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</si>
  <si>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</si>
  <si>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</si>
  <si>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</si>
  <si>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</si>
  <si>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</si>
  <si>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</si>
  <si>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</si>
  <si>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</si>
  <si>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</si>
  <si>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</si>
  <si>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</si>
  <si>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</si>
  <si>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</si>
  <si>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</si>
  <si>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</si>
  <si>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</si>
  <si>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</si>
  <si>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</si>
  <si>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</si>
  <si>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</si>
  <si>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</si>
  <si>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</si>
  <si>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</si>
  <si>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</si>
  <si>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</si>
  <si>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</si>
  <si>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</si>
  <si>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</si>
  <si>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</si>
  <si>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</si>
  <si>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</si>
  <si>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</si>
  <si>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</si>
  <si>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</si>
  <si>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</si>
  <si>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</si>
  <si>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</si>
  <si>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</si>
  <si>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</si>
  <si>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</si>
  <si>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</si>
  <si>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</si>
  <si>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</si>
  <si>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</si>
  <si>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</si>
  <si>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</si>
  <si>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</si>
  <si>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</si>
  <si>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</si>
  <si>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</si>
  <si>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</si>
  <si>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</si>
  <si>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</si>
  <si>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</si>
  <si>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</si>
  <si>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</si>
  <si>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</si>
  <si>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</si>
  <si>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</si>
  <si>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</si>
  <si>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</si>
  <si>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</si>
  <si>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</si>
  <si>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</si>
  <si>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</si>
  <si>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</si>
  <si>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</si>
  <si>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</si>
  <si>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</si>
  <si>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</si>
  <si>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</si>
  <si>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</si>
  <si>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</si>
  <si>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</si>
  <si>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</si>
  <si>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</si>
  <si>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</si>
  <si>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</si>
  <si>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</si>
  <si>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</si>
  <si>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</si>
  <si>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</si>
  <si>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</si>
  <si>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</si>
  <si>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</si>
  <si>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</si>
  <si>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</si>
  <si>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</si>
  <si>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</si>
  <si>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</si>
  <si>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</si>
  <si>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</si>
  <si>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</si>
  <si>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</si>
  <si>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</si>
  <si>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</si>
  <si>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</si>
  <si>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</si>
  <si>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</si>
  <si>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</si>
  <si>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</si>
  <si>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</si>
  <si>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</si>
  <si>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</si>
  <si>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</si>
  <si>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</si>
  <si>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</si>
  <si>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</si>
  <si>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</si>
  <si>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</si>
  <si>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</si>
  <si>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</si>
  <si>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</si>
  <si>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</si>
  <si>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</si>
  <si>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</si>
  <si>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</si>
  <si>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</si>
  <si>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</si>
  <si>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</si>
  <si>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</si>
  <si>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</si>
  <si>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</si>
  <si>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</si>
  <si>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</si>
  <si>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</si>
  <si>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</si>
  <si>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</si>
  <si>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</si>
  <si>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</si>
  <si>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</si>
  <si>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</si>
  <si>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</si>
  <si>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</si>
  <si>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</si>
  <si>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</si>
  <si>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</si>
  <si>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</si>
  <si>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</si>
  <si>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</si>
  <si>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</si>
  <si>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</si>
  <si>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</si>
  <si>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</si>
  <si>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</si>
  <si>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</si>
  <si>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</si>
  <si>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</si>
  <si>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</si>
  <si>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</si>
  <si>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</si>
  <si>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</si>
  <si>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</si>
  <si>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</si>
  <si>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</si>
  <si>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</si>
  <si>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</si>
  <si>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</si>
  <si>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</si>
  <si>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</si>
  <si>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</si>
  <si>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</si>
  <si>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</si>
  <si>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</si>
  <si>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</si>
  <si>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</si>
  <si>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</si>
  <si>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</si>
  <si>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</si>
  <si>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</si>
  <si>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</si>
  <si>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</si>
  <si>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</si>
  <si>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</si>
  <si>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</si>
  <si>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</si>
  <si>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</si>
  <si>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</si>
  <si>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</si>
  <si>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</si>
  <si>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</si>
  <si>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</si>
  <si>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</si>
  <si>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</si>
  <si>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</si>
  <si>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</si>
  <si>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</si>
  <si>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</si>
  <si>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</si>
  <si>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</si>
  <si>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</si>
  <si>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</si>
  <si>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</si>
  <si>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</si>
  <si>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</si>
  <si>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</si>
  <si>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</si>
  <si>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</si>
  <si>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</si>
  <si>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</si>
  <si>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</si>
  <si>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</si>
  <si>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</si>
  <si>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</si>
  <si>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</si>
  <si>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</si>
  <si>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</si>
  <si>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</si>
  <si>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</si>
  <si>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</si>
  <si>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</si>
  <si>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</si>
  <si>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</si>
  <si>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</si>
  <si>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</si>
  <si>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</si>
  <si>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</si>
  <si>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</si>
  <si>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</si>
  <si>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</si>
  <si>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</si>
  <si>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</si>
  <si>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</si>
  <si>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</si>
  <si>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</si>
  <si>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</si>
  <si>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</si>
  <si>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</si>
  <si>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</si>
  <si>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</si>
  <si>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</si>
  <si>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</si>
  <si>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</si>
  <si>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</si>
  <si>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</si>
  <si>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</si>
  <si>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</si>
  <si>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</si>
  <si>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</si>
  <si>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</si>
  <si>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</si>
  <si>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</si>
  <si>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</si>
  <si>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</si>
  <si>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</si>
  <si>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</si>
  <si>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</si>
  <si>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</si>
  <si>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</si>
  <si>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</si>
  <si>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</si>
  <si>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</si>
  <si>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</si>
  <si>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</si>
  <si>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</si>
  <si>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</si>
  <si>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</si>
  <si>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</si>
  <si>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</si>
  <si>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</si>
  <si>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</si>
  <si>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</si>
  <si>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</si>
  <si>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</si>
  <si>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</si>
  <si>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</si>
  <si>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</si>
  <si>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</si>
  <si>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</si>
  <si>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</si>
  <si>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</si>
  <si>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</si>
  <si>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</si>
  <si>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</si>
  <si>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</si>
  <si>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</si>
  <si>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</si>
  <si>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</si>
  <si>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</si>
  <si>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</si>
  <si>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</si>
  <si>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</si>
  <si>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</si>
  <si>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</si>
  <si>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</si>
  <si>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</si>
  <si>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</si>
  <si>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</si>
  <si>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</si>
  <si>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</si>
  <si>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</si>
  <si>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</si>
  <si>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</si>
  <si>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</si>
  <si>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</si>
  <si>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</si>
  <si>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</si>
  <si>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</si>
  <si>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</si>
  <si>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</si>
  <si>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</si>
  <si>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</si>
  <si>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</si>
  <si>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</si>
  <si>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</si>
  <si>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</si>
  <si>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</si>
  <si>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</si>
  <si>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</si>
  <si>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</si>
  <si>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</si>
  <si>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</si>
  <si>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</si>
  <si>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</si>
  <si>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</si>
  <si>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</si>
  <si>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</si>
  <si>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</si>
  <si>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</si>
  <si>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</si>
  <si>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</si>
  <si>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</si>
  <si>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</si>
  <si>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</si>
  <si>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</si>
  <si>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</si>
  <si>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</si>
  <si>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</si>
  <si>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</si>
  <si>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</si>
  <si>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</si>
  <si>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</si>
  <si>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</si>
  <si>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</si>
  <si>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</si>
  <si>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</si>
  <si>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</si>
  <si>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</si>
  <si>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</si>
  <si>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</si>
  <si>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</si>
  <si>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</si>
  <si>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</si>
  <si>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</si>
  <si>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</si>
  <si>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</si>
  <si>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</si>
  <si>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</si>
  <si>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</si>
  <si>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</si>
  <si>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</si>
  <si>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</si>
  <si>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</si>
  <si>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</si>
  <si>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</si>
  <si>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</si>
  <si>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</si>
  <si>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</si>
  <si>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</si>
  <si>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</si>
  <si>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</si>
  <si>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</si>
  <si>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</si>
  <si>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</si>
  <si>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</si>
  <si>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</si>
  <si>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</si>
  <si>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</si>
  <si>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</si>
  <si>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</si>
  <si>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</si>
  <si>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</si>
  <si>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</si>
  <si>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</si>
  <si>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</si>
  <si>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</si>
  <si>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</si>
  <si>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</si>
  <si>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</si>
  <si>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</si>
  <si>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</si>
  <si>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</si>
  <si>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</si>
  <si>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</si>
  <si>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</si>
  <si>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</si>
  <si>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</si>
  <si>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</si>
  <si>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</si>
  <si>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</si>
  <si>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</si>
  <si>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</si>
  <si>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</si>
  <si>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</si>
  <si>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</si>
  <si>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</si>
  <si>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</si>
  <si>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</si>
  <si>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</si>
  <si>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</si>
  <si>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</si>
  <si>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</si>
  <si>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</si>
  <si>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</si>
  <si>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</si>
  <si>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</si>
  <si>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</si>
  <si>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</si>
  <si>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</si>
  <si>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</si>
  <si>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</si>
  <si>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</si>
  <si>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</si>
  <si>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</si>
  <si>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</si>
  <si>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</si>
  <si>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</si>
  <si>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</si>
  <si>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</si>
  <si>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</si>
  <si>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</si>
  <si>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</si>
  <si>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</si>
  <si>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</si>
  <si>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</si>
  <si>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</si>
  <si>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</si>
  <si>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</si>
  <si>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</si>
  <si>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</si>
  <si>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</si>
  <si>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</si>
  <si>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</si>
  <si>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</si>
  <si>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</si>
  <si>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</si>
  <si>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</si>
  <si>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</si>
  <si>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</si>
  <si>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</si>
  <si>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</si>
  <si>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</si>
  <si>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</si>
  <si>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</si>
  <si>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</si>
  <si>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</si>
  <si>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</si>
  <si>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</si>
  <si>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</si>
  <si>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</si>
  <si>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</si>
  <si>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</si>
  <si>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</si>
  <si>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</si>
  <si>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</si>
  <si>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</si>
  <si>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</si>
  <si>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</si>
  <si>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</si>
  <si>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</si>
  <si>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</si>
  <si>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</si>
  <si>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</si>
  <si>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</si>
  <si>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</si>
  <si>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</si>
  <si>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</si>
  <si>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</si>
  <si>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</si>
  <si>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</si>
  <si>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</si>
  <si>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</si>
  <si>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</si>
  <si>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</si>
  <si>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</si>
  <si>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</si>
  <si>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</si>
  <si>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</si>
  <si>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</si>
  <si>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</si>
  <si>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</si>
  <si>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</si>
  <si>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</si>
  <si>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</si>
  <si>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</si>
  <si>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</si>
  <si>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</si>
  <si>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</si>
  <si>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</si>
  <si>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</si>
  <si>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</si>
  <si>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</si>
  <si>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</si>
  <si>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</si>
  <si>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</si>
  <si>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</si>
  <si>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</si>
  <si>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</si>
  <si>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</si>
  <si>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</si>
  <si>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</si>
  <si>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</si>
  <si>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</si>
  <si>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</si>
  <si>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</si>
  <si>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</si>
  <si>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</si>
  <si>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</si>
  <si>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</si>
  <si>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</si>
  <si>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</si>
  <si>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</si>
  <si>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</si>
  <si>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</si>
  <si>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</si>
  <si>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</si>
  <si>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</si>
  <si>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</si>
  <si>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</si>
  <si>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</si>
  <si>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</si>
  <si>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</si>
  <si>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</si>
  <si>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</si>
  <si>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</si>
  <si>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</si>
  <si>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</si>
  <si>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</si>
  <si>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</si>
  <si>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</si>
  <si>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</si>
  <si>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</si>
  <si>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</si>
  <si>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</si>
  <si>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</si>
  <si>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</si>
  <si>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</si>
  <si>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</si>
  <si>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</si>
  <si>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</si>
  <si>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</si>
  <si>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</si>
  <si>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</si>
  <si>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</si>
  <si>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</si>
  <si>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</si>
  <si>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</si>
  <si>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</si>
  <si>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</si>
  <si>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</si>
  <si>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</si>
  <si>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</si>
  <si>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</si>
  <si>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</si>
  <si>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</si>
  <si>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</si>
  <si>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</si>
  <si>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</si>
  <si>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</si>
  <si>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</si>
  <si>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</si>
  <si>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</si>
  <si>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</si>
  <si>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</si>
  <si>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</si>
  <si>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</si>
  <si>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</si>
  <si>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</si>
  <si>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</si>
  <si>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</si>
  <si>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</si>
  <si>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</si>
  <si>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</si>
  <si>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</si>
  <si>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</si>
  <si>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</si>
  <si>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</si>
  <si>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</si>
  <si>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</si>
  <si>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</si>
  <si>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</si>
  <si>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</si>
  <si>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</si>
  <si>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</si>
  <si>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</si>
  <si>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</si>
  <si>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</si>
  <si>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</si>
  <si>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</si>
  <si>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</si>
  <si>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</si>
  <si>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</si>
  <si>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</si>
  <si>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</si>
  <si>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</si>
  <si>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</si>
  <si>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</si>
  <si>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</si>
  <si>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</si>
  <si>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</si>
  <si>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</si>
  <si>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</si>
  <si>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</si>
  <si>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</si>
  <si>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</si>
  <si>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</si>
  <si>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</si>
  <si>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</si>
  <si>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</si>
  <si>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</si>
  <si>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</si>
  <si>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</si>
  <si>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</si>
  <si>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</si>
  <si>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</si>
  <si>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</si>
  <si>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</si>
  <si>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</si>
  <si>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</si>
  <si>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</si>
  <si>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</si>
  <si>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</si>
  <si>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</si>
  <si>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</si>
  <si>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</si>
  <si>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</si>
  <si>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</si>
  <si>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</si>
  <si>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</si>
  <si>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</si>
  <si>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</si>
  <si>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</si>
  <si>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</si>
  <si>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</si>
  <si>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</si>
  <si>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</si>
  <si>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</si>
  <si>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</si>
  <si>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</si>
  <si>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</si>
  <si>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</si>
  <si>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</si>
  <si>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</si>
  <si>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</si>
  <si>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</si>
  <si>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</si>
  <si>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</si>
  <si>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</si>
  <si>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</si>
  <si>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</si>
  <si>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</si>
  <si>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</si>
  <si>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</si>
  <si>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</si>
  <si>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</si>
  <si>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</si>
  <si>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</si>
  <si>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</si>
  <si>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</si>
  <si>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</si>
  <si>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</si>
  <si>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</si>
  <si>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</si>
  <si>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</si>
  <si>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</si>
  <si>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</si>
  <si>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</si>
  <si>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</si>
  <si>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</si>
  <si>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</si>
  <si>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</si>
  <si>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</si>
  <si>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</si>
  <si>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</si>
  <si>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</si>
  <si>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</si>
  <si>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</si>
  <si>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</si>
  <si>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</si>
  <si>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</si>
  <si>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</si>
  <si>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</si>
  <si>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</si>
  <si>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</si>
  <si>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</si>
  <si>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</si>
  <si>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</si>
  <si>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</si>
  <si>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</si>
  <si>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</si>
  <si>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</si>
  <si>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</si>
  <si>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</si>
  <si>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</si>
  <si>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</si>
  <si>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</si>
  <si>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</si>
  <si>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</si>
  <si>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</si>
  <si>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</si>
  <si>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</si>
  <si>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</si>
  <si>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</si>
  <si>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</si>
  <si>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</si>
  <si>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</si>
  <si>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</si>
  <si>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</si>
  <si>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</si>
  <si>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</si>
  <si>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</si>
  <si>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</si>
  <si>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</si>
  <si>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</si>
  <si>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</si>
  <si>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</si>
  <si>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</si>
  <si>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</si>
  <si>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</si>
  <si>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</si>
  <si>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</si>
  <si>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</si>
  <si>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</si>
  <si>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</si>
  <si>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</si>
  <si>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</si>
  <si>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</si>
  <si>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</si>
  <si>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</si>
  <si>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</si>
  <si>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</si>
  <si>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</si>
  <si>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</si>
  <si>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</si>
  <si>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</si>
  <si>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</si>
  <si>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</si>
  <si>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</si>
  <si>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</si>
  <si>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</si>
  <si>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</si>
  <si>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</si>
  <si>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</si>
  <si>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</si>
  <si>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</si>
  <si>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</si>
  <si>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</si>
  <si>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</si>
  <si>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</si>
  <si>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</si>
  <si>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</si>
  <si>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</si>
  <si>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</si>
  <si>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</si>
  <si>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</si>
  <si>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</si>
  <si>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</si>
  <si>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</si>
  <si>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</si>
  <si>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</si>
  <si>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</si>
  <si>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</si>
  <si>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</si>
  <si>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</si>
  <si>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</si>
  <si>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</si>
  <si>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</si>
  <si>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</si>
  <si>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</si>
  <si>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</si>
  <si>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</si>
  <si>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</si>
  <si>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</si>
  <si>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</si>
  <si>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</si>
  <si>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</si>
  <si>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</si>
  <si>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</si>
  <si>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</si>
  <si>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</si>
  <si>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</si>
  <si>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</si>
  <si>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</si>
  <si>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</si>
  <si>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</si>
  <si>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</si>
  <si>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</si>
  <si>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</si>
  <si>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</si>
  <si>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</si>
  <si>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</si>
  <si>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</si>
  <si>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</si>
  <si>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</si>
  <si>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</si>
  <si>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</si>
  <si>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</si>
  <si>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</si>
  <si>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</si>
  <si>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</si>
  <si>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</si>
  <si>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</si>
  <si>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</si>
  <si>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</si>
  <si>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</si>
  <si>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</si>
  <si>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</si>
  <si>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</si>
  <si>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</si>
  <si>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</si>
  <si>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</si>
  <si>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</si>
  <si>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</si>
  <si>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</si>
  <si>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</si>
  <si>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</si>
  <si>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</si>
  <si>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</si>
  <si>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</si>
  <si>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</si>
  <si>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</si>
  <si>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</si>
  <si>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</si>
  <si>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</si>
  <si>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</si>
  <si>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</si>
  <si>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</si>
  <si>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</si>
  <si>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</si>
  <si>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</si>
  <si>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</si>
  <si>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</si>
  <si>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</si>
  <si>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</si>
  <si>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</si>
  <si>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</si>
  <si>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</si>
  <si>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</si>
  <si>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</si>
  <si>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</si>
  <si>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</si>
  <si>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</si>
  <si>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</si>
  <si>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</si>
  <si>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</si>
  <si>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</si>
  <si>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</si>
  <si>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</si>
  <si>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</si>
  <si>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</si>
  <si>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</si>
  <si>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</si>
  <si>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</si>
  <si>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</si>
  <si>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</si>
  <si>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</si>
  <si>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</si>
  <si>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</si>
  <si>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</si>
  <si>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</si>
  <si>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</si>
  <si>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</si>
  <si>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</si>
  <si>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</si>
  <si>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</si>
  <si>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</si>
  <si>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</si>
  <si>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</si>
  <si>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</si>
  <si>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</si>
  <si>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</si>
  <si>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</si>
  <si>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</si>
  <si>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</si>
  <si>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</si>
  <si>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</si>
  <si>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</si>
  <si>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</si>
  <si>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</si>
  <si>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</si>
  <si>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</si>
  <si>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</si>
  <si>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</si>
  <si>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</si>
  <si>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</si>
  <si>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</si>
  <si>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</si>
  <si>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</si>
  <si>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</si>
  <si>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</si>
  <si>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</si>
  <si>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</si>
  <si>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</si>
  <si>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</si>
  <si>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</si>
  <si>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</si>
  <si>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</si>
  <si>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</si>
  <si>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</si>
  <si>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</si>
  <si>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</si>
  <si>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</si>
  <si>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</si>
  <si>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</si>
  <si>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</si>
  <si>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</si>
  <si>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</si>
  <si>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</si>
  <si>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</si>
  <si>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</si>
  <si>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</si>
  <si>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</si>
  <si>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</si>
  <si>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</si>
  <si>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</si>
  <si>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</si>
  <si>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</si>
  <si>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</si>
  <si>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</si>
  <si>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</si>
  <si>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</si>
  <si>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</si>
  <si>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</si>
  <si>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</si>
  <si>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</si>
  <si>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</si>
  <si>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</si>
  <si>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</si>
  <si>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</si>
  <si>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</si>
  <si>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</si>
  <si>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</si>
  <si>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</si>
  <si>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</si>
  <si>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</si>
  <si>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</si>
  <si>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</si>
  <si>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</si>
  <si>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</si>
  <si>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</si>
  <si>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</si>
  <si>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</si>
  <si>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</si>
  <si>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</si>
  <si>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</si>
  <si>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</si>
  <si>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</si>
  <si>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</si>
  <si>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</si>
  <si>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</si>
  <si>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</si>
  <si>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</si>
  <si>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</si>
  <si>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</si>
  <si>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</si>
  <si>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</si>
  <si>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</si>
  <si>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</si>
  <si>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</si>
  <si>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</si>
  <si>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</si>
  <si>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</si>
  <si>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</si>
  <si>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</si>
  <si>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</si>
  <si>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</si>
  <si>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</si>
  <si>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</si>
  <si>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</si>
  <si>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</si>
  <si>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</si>
  <si>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</si>
  <si>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</si>
  <si>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</si>
  <si>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</si>
  <si>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</si>
  <si>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</si>
  <si>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</si>
  <si>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</si>
  <si>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</si>
  <si>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</si>
  <si>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</si>
  <si>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</si>
  <si>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</si>
  <si>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</si>
  <si>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</si>
  <si>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</si>
  <si>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</si>
  <si>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</si>
  <si>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</si>
  <si>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</si>
  <si>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</si>
  <si>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</si>
  <si>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</si>
  <si>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</si>
  <si>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</si>
  <si>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</si>
  <si>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</si>
  <si>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</si>
  <si>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</si>
  <si>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</si>
  <si>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</si>
  <si>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</si>
  <si>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</si>
  <si>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</si>
  <si>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</si>
  <si>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</si>
  <si>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</si>
  <si>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</si>
  <si>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</si>
  <si>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</si>
  <si>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</si>
  <si>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</si>
  <si>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</si>
  <si>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</si>
  <si>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</si>
  <si>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</si>
  <si>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</si>
  <si>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</si>
  <si>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</si>
  <si>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</si>
  <si>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</si>
  <si>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</si>
  <si>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</si>
  <si>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</si>
  <si>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</si>
  <si>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</si>
  <si>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</si>
  <si>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</si>
  <si>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</si>
  <si>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</si>
  <si>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</si>
  <si>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</si>
  <si>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</si>
  <si>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</si>
  <si>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</si>
  <si>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</si>
  <si>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</si>
  <si>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</si>
  <si>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</si>
  <si>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</si>
  <si>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</si>
  <si>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</si>
  <si>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</si>
  <si>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</si>
  <si>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</si>
  <si>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</si>
  <si>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</si>
  <si>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</si>
  <si>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</si>
  <si>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</si>
  <si>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</si>
  <si>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</si>
  <si>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</si>
  <si>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</si>
  <si>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</si>
  <si>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</si>
  <si>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</si>
  <si>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</si>
  <si>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</si>
  <si>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</si>
  <si>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</si>
  <si>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</si>
  <si>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</si>
  <si>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</si>
  <si>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</si>
  <si>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</si>
  <si>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</si>
  <si>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</si>
  <si>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</si>
  <si>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</si>
  <si>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</si>
  <si>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</si>
  <si>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</si>
  <si>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</si>
  <si>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</si>
  <si>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</si>
  <si>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</si>
  <si>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</si>
  <si>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</si>
  <si>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</si>
  <si>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</si>
  <si>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</si>
  <si>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</si>
  <si>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</si>
  <si>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</si>
  <si>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</si>
  <si>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</si>
  <si>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</si>
  <si>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</si>
  <si>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</si>
  <si>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</si>
  <si>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</si>
  <si>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</si>
  <si>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</si>
  <si>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</si>
  <si>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</si>
  <si>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</si>
  <si>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</si>
  <si>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</si>
  <si>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</si>
  <si>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</si>
  <si>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</si>
  <si>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</si>
  <si>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</si>
  <si>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</si>
  <si>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</si>
  <si>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</si>
  <si>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</si>
  <si>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</si>
  <si>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</si>
  <si>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</si>
  <si>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</si>
  <si>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</si>
  <si>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</si>
  <si>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</si>
  <si>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</si>
  <si>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</si>
  <si>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</si>
  <si>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</si>
  <si>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</si>
  <si>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</si>
  <si>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</si>
  <si>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</si>
  <si>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</si>
  <si>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</si>
  <si>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</si>
  <si>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</si>
  <si>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</si>
  <si>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</si>
  <si>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</si>
  <si>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</si>
  <si>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</si>
  <si>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</si>
  <si>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</si>
  <si>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</si>
  <si>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</si>
  <si>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</si>
  <si>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</si>
  <si>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</si>
  <si>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</si>
  <si>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</si>
  <si>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</si>
  <si>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</si>
  <si>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</si>
  <si>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</si>
  <si>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</si>
  <si>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</si>
  <si>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</si>
  <si>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</si>
  <si>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</si>
  <si>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</si>
  <si>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</si>
  <si>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</si>
  <si>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</si>
  <si>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</si>
  <si>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</si>
  <si>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</si>
  <si>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</si>
  <si>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</si>
  <si>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</si>
  <si>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</si>
  <si>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</si>
  <si>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</si>
  <si>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</si>
  <si>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</si>
  <si>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</si>
  <si>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</si>
  <si>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</si>
  <si>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</si>
  <si>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</si>
  <si>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</si>
  <si>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</si>
  <si>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</si>
  <si>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</si>
  <si>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</si>
  <si>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</si>
  <si>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</si>
  <si>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</si>
  <si>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</si>
  <si>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</si>
  <si>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</si>
  <si>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</si>
  <si>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</si>
  <si>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</si>
  <si>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</si>
  <si>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</si>
  <si>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</si>
  <si>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</si>
  <si>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</si>
  <si>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</si>
  <si>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</si>
  <si>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</si>
  <si>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</si>
  <si>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</si>
  <si>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</si>
  <si>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</si>
  <si>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</si>
  <si>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</si>
  <si>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</si>
  <si>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</si>
  <si>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</si>
  <si>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</si>
  <si>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</si>
  <si>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</si>
  <si>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</si>
  <si>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</si>
  <si>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</si>
  <si>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</si>
  <si>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</si>
  <si>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</si>
  <si>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</si>
  <si>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</si>
  <si>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</si>
  <si>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</si>
  <si>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</si>
  <si>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</si>
  <si>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</si>
  <si>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</si>
  <si>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</si>
  <si>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</si>
  <si>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</si>
  <si>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</si>
  <si>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</si>
  <si>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</si>
  <si>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</si>
  <si>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</si>
  <si>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</si>
  <si>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</si>
  <si>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</si>
  <si>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</si>
  <si>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</si>
  <si>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</si>
  <si>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</si>
  <si>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</si>
  <si>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</si>
  <si>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</si>
  <si>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</si>
  <si>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</si>
  <si>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</si>
  <si>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</si>
  <si>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</si>
  <si>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</si>
  <si>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</si>
  <si>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</si>
  <si>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</si>
  <si>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</si>
  <si>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</si>
  <si>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</si>
  <si>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</si>
  <si>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</si>
  <si>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</si>
  <si>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</si>
  <si>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</si>
  <si>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</si>
  <si>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</si>
  <si>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</si>
  <si>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</si>
  <si>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</si>
  <si>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</si>
  <si>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</si>
  <si>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</si>
  <si>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</si>
  <si>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</si>
  <si>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</si>
  <si>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</si>
  <si>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</si>
  <si>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</si>
  <si>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</si>
  <si>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</si>
  <si>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</si>
  <si>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</si>
  <si>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</si>
  <si>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</si>
  <si>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</si>
  <si>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</si>
  <si>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</si>
  <si>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</si>
  <si>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</si>
  <si>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</si>
  <si>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</si>
  <si>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</si>
  <si>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</si>
  <si>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</si>
  <si>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</si>
  <si>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</si>
  <si>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</si>
  <si>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</si>
  <si>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</si>
  <si>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</si>
  <si>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</si>
  <si>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</si>
  <si>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</si>
  <si>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</si>
  <si>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</si>
  <si>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</si>
  <si>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</si>
  <si>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</si>
  <si>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</si>
  <si>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</si>
  <si>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</si>
  <si>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</si>
  <si>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</si>
  <si>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</si>
  <si>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</si>
  <si>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</si>
  <si>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</si>
  <si>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</si>
  <si>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</si>
  <si>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</si>
  <si>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</si>
  <si>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</si>
  <si>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</si>
  <si>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</si>
  <si>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</si>
  <si>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</si>
  <si>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</si>
  <si>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</si>
  <si>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</si>
  <si>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</si>
  <si>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</si>
  <si>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</si>
  <si>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</si>
  <si>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</si>
  <si>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</si>
  <si>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</si>
  <si>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</si>
  <si>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</si>
  <si>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</si>
  <si>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</si>
  <si>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</si>
  <si>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</si>
  <si>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</si>
  <si>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</si>
  <si>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</si>
  <si>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</si>
  <si>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</si>
  <si>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</si>
  <si>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</si>
  <si>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</si>
  <si>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</si>
  <si>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</si>
  <si>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</si>
  <si>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</si>
  <si>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</si>
  <si>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</si>
  <si>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</si>
  <si>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</si>
  <si>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</si>
  <si>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</si>
  <si>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</si>
  <si>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</si>
  <si>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</si>
  <si>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</si>
  <si>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</si>
  <si>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</si>
  <si>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</si>
  <si>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</si>
  <si>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</si>
  <si>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</si>
  <si>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</si>
  <si>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</si>
  <si>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</si>
  <si>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</si>
  <si>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</si>
  <si>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</si>
  <si>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</si>
  <si>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</si>
  <si>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</si>
  <si>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</si>
  <si>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</si>
  <si>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</si>
  <si>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</si>
  <si>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</si>
  <si>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</si>
  <si>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</si>
  <si>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</si>
  <si>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</si>
  <si>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</si>
  <si>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</si>
  <si>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</si>
  <si>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</si>
  <si>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</si>
  <si>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</si>
  <si>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</si>
  <si>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</si>
  <si>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</si>
  <si>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</si>
  <si>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</si>
  <si>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</si>
  <si>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</si>
  <si>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</si>
  <si>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</si>
  <si>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</si>
  <si>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</si>
  <si>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</si>
  <si>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</si>
  <si>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</si>
  <si>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</si>
  <si>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</si>
  <si>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</si>
  <si>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</si>
  <si>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</si>
  <si>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</si>
  <si>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</si>
  <si>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</si>
  <si>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</si>
  <si>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</si>
  <si>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</si>
  <si>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</si>
  <si>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</si>
  <si>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</si>
  <si>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</si>
  <si>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</si>
  <si>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</si>
  <si>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</si>
  <si>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</si>
  <si>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</si>
  <si>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</si>
  <si>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</si>
  <si>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</si>
  <si>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</si>
  <si>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</si>
  <si>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</si>
  <si>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</si>
  <si>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</si>
  <si>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</si>
  <si>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</si>
  <si>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</si>
  <si>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</si>
  <si>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</si>
  <si>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</si>
  <si>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</si>
  <si>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</si>
  <si>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</si>
  <si>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</si>
  <si>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</si>
  <si>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</si>
  <si>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</si>
  <si>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</si>
  <si>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</si>
  <si>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</si>
  <si>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</si>
  <si>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</si>
  <si>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</si>
  <si>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</si>
  <si>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</si>
  <si>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</si>
  <si>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</si>
  <si>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</si>
  <si>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</si>
  <si>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</si>
  <si>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</si>
  <si>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</si>
  <si>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</si>
  <si>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</si>
  <si>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</si>
  <si>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</si>
  <si>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</si>
  <si>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</si>
  <si>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</si>
  <si>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</si>
  <si>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</si>
  <si>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</si>
  <si>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</si>
  <si>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</si>
  <si>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</si>
  <si>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</si>
  <si>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</si>
  <si>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</si>
  <si>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</si>
  <si>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</si>
  <si>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</si>
  <si>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</si>
  <si>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</si>
  <si>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</si>
  <si>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</si>
  <si>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</si>
  <si>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</si>
  <si>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</si>
  <si>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</si>
  <si>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</si>
  <si>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</si>
  <si>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</si>
  <si>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</si>
  <si>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</si>
  <si>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</si>
  <si>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</si>
  <si>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</si>
  <si>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</si>
  <si>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</si>
  <si>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</si>
  <si>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</si>
  <si>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</si>
  <si>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</si>
  <si>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</si>
  <si>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</si>
  <si>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</si>
  <si>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</si>
  <si>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</si>
  <si>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</si>
  <si>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</si>
  <si>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</si>
  <si>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</si>
  <si>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</si>
  <si>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</si>
  <si>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</si>
  <si>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</si>
  <si>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</si>
  <si>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</si>
  <si>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</si>
  <si>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</si>
  <si>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</si>
  <si>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</si>
  <si>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</si>
  <si>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</si>
  <si>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</si>
  <si>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</si>
  <si>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</si>
  <si>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</si>
  <si>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</si>
  <si>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</si>
  <si>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</si>
  <si>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</si>
  <si>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</si>
  <si>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</si>
  <si>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</si>
  <si>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</si>
  <si>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</si>
  <si>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</si>
  <si>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</si>
  <si>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</si>
  <si>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</si>
  <si>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</si>
  <si>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</si>
  <si>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</si>
  <si>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</si>
  <si>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</si>
  <si>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</si>
  <si>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</si>
  <si>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</si>
  <si>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</si>
  <si>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</si>
  <si>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</si>
  <si>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</si>
  <si>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</si>
  <si>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</si>
  <si>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</si>
  <si>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</si>
  <si>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</si>
  <si>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</si>
  <si>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</si>
  <si>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</si>
  <si>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</si>
  <si>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</si>
  <si>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</si>
  <si>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</si>
  <si>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</si>
  <si>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</si>
  <si>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</si>
  <si>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</si>
  <si>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</si>
  <si>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</si>
  <si>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</si>
  <si>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</si>
  <si>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</si>
  <si>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</si>
  <si>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</si>
  <si>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</si>
  <si>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</si>
  <si>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</si>
  <si>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</si>
  <si>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</si>
  <si>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</si>
  <si>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</si>
  <si>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</si>
  <si>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</si>
  <si>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</si>
  <si>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</si>
  <si>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</si>
  <si>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</si>
  <si>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</si>
  <si>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</si>
  <si>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</si>
  <si>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</si>
  <si>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</si>
  <si>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</si>
  <si>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</si>
  <si>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</si>
  <si>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</si>
  <si>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</si>
  <si>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</si>
  <si>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</si>
  <si>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</si>
  <si>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</si>
  <si>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</si>
  <si>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</si>
  <si>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</si>
  <si>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</si>
  <si>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</si>
  <si>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</si>
  <si>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</si>
  <si>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</si>
  <si>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</si>
  <si>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</si>
  <si>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</si>
  <si>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</si>
  <si>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</si>
  <si>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</si>
  <si>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</si>
  <si>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</si>
  <si>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</si>
  <si>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</si>
  <si>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</si>
  <si>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</si>
  <si>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</si>
  <si>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</si>
  <si>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</si>
  <si>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</si>
  <si>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</si>
  <si>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</si>
  <si>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</si>
  <si>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</si>
  <si>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</si>
  <si>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</si>
  <si>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</si>
  <si>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</si>
  <si>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</si>
  <si>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</si>
  <si>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</si>
  <si>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</si>
  <si>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</si>
  <si>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</si>
  <si>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</si>
  <si>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</si>
  <si>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</si>
  <si>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</si>
  <si>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</si>
  <si>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</si>
  <si>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</si>
  <si>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</si>
  <si>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</si>
  <si>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</si>
  <si>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</si>
  <si>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</si>
  <si>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</si>
  <si>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</si>
  <si>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</si>
  <si>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</si>
  <si>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</si>
  <si>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</si>
  <si>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</si>
  <si>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</si>
  <si>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</si>
  <si>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</si>
  <si>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</si>
  <si>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</si>
  <si>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</si>
  <si>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</si>
  <si>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</si>
  <si>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</si>
  <si>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</si>
  <si>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</si>
  <si>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</si>
  <si>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</si>
  <si>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</si>
  <si>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</si>
  <si>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</si>
  <si>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</si>
  <si>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</si>
  <si>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</si>
  <si>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</si>
  <si>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</si>
  <si>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</si>
  <si>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</si>
  <si>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</si>
  <si>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</si>
  <si>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</si>
  <si>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</si>
  <si>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</si>
  <si>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</si>
  <si>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</si>
  <si>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</si>
  <si>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</si>
  <si>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</si>
  <si>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</si>
  <si>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</si>
  <si>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</si>
  <si>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</si>
  <si>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</si>
  <si>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</si>
  <si>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</si>
  <si>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</si>
  <si>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</si>
  <si>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</si>
  <si>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</si>
  <si>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</si>
  <si>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</si>
  <si>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</si>
  <si>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</si>
  <si>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</si>
  <si>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</si>
  <si>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</si>
  <si>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</si>
  <si>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</si>
  <si>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</si>
  <si>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</si>
  <si>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</si>
  <si>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</si>
  <si>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</si>
  <si>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</si>
  <si>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</si>
  <si>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</si>
  <si>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</si>
  <si>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</si>
  <si>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</si>
  <si>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</si>
  <si>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</si>
  <si>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</si>
  <si>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</si>
  <si>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</si>
  <si>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</si>
  <si>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</si>
  <si>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</si>
  <si>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</si>
  <si>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</si>
  <si>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</si>
  <si>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</si>
  <si>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</si>
  <si>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</si>
  <si>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</si>
  <si>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</si>
  <si>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</si>
  <si>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</si>
  <si>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</si>
  <si>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</si>
  <si>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</si>
  <si>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</si>
  <si>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</si>
  <si>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</si>
  <si>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</si>
  <si>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</si>
  <si>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</si>
  <si>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</si>
  <si>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</si>
  <si>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</si>
  <si>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</si>
  <si>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</si>
  <si>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</si>
  <si>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</si>
  <si>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</si>
  <si>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</si>
  <si>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</si>
  <si>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</si>
  <si>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</si>
  <si>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</si>
  <si>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</si>
  <si>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</si>
  <si>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</si>
  <si>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</si>
  <si>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</si>
  <si>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</si>
  <si>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</si>
  <si>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</si>
  <si>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</si>
  <si>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</si>
  <si>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</si>
  <si>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</si>
  <si>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</si>
  <si>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</si>
  <si>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</si>
  <si>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</si>
  <si>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</si>
  <si>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</si>
  <si>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</si>
  <si>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</si>
  <si>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</si>
  <si>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</si>
  <si>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</si>
  <si>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</si>
  <si>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</si>
  <si>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</si>
  <si>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</si>
  <si>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</si>
  <si>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</si>
  <si>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</si>
  <si>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</si>
  <si>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</si>
  <si>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</si>
  <si>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</si>
  <si>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</si>
  <si>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</si>
  <si>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</si>
  <si>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</si>
  <si>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</si>
  <si>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</si>
  <si>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</si>
  <si>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</si>
  <si>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</si>
  <si>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</si>
  <si>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</si>
  <si>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</si>
  <si>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</si>
  <si>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</si>
  <si>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</si>
  <si>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</si>
  <si>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</si>
  <si>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</si>
  <si>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</si>
  <si>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</si>
  <si>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</si>
  <si>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</si>
  <si>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</si>
  <si>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</si>
  <si>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</si>
  <si>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</si>
  <si>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</si>
  <si>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</si>
  <si>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</si>
  <si>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</si>
  <si>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</si>
  <si>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</si>
  <si>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</si>
  <si>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</si>
  <si>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</si>
  <si>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</si>
  <si>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</si>
  <si>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</si>
  <si>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</si>
  <si>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</si>
  <si>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</si>
  <si>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</si>
  <si>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</si>
  <si>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</si>
  <si>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</si>
  <si>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</si>
  <si>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</si>
  <si>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</si>
  <si>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</si>
  <si>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</si>
  <si>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</si>
  <si>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</si>
  <si>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</si>
  <si>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</si>
  <si>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</si>
  <si>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</si>
  <si>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</si>
  <si>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</si>
  <si>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</si>
  <si>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</si>
  <si>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</si>
  <si>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</si>
  <si>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</si>
  <si>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</si>
  <si>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</si>
  <si>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</si>
  <si>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</si>
  <si>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</si>
  <si>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</si>
  <si>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</si>
  <si>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</si>
  <si>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</si>
  <si>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</si>
  <si>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</si>
  <si>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</si>
  <si>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</si>
  <si>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</si>
  <si>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</si>
  <si>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</si>
  <si>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</si>
  <si>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</si>
  <si>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</si>
  <si>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</si>
  <si>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</si>
  <si>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</si>
  <si>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</si>
  <si>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</si>
  <si>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</si>
  <si>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</si>
  <si>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</si>
  <si>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</si>
  <si>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</si>
  <si>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</si>
  <si>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</si>
  <si>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</si>
  <si>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</si>
  <si>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</si>
  <si>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</si>
  <si>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</si>
  <si>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</si>
  <si>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</si>
  <si>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</si>
  <si>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</si>
  <si>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</si>
  <si>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</si>
  <si>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</si>
  <si>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</si>
  <si>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</si>
  <si>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</si>
  <si>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</si>
  <si>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</si>
  <si>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</si>
  <si>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</si>
  <si>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</si>
  <si>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</si>
  <si>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</si>
  <si>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</si>
  <si>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</si>
  <si>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</si>
  <si>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</si>
  <si>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</si>
  <si>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</si>
  <si>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</si>
  <si>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</si>
  <si>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</si>
  <si>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</si>
  <si>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</si>
  <si>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</si>
  <si>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</si>
  <si>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</si>
  <si>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</si>
  <si>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</si>
  <si>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</si>
  <si>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</si>
  <si>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</si>
  <si>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</si>
  <si>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</si>
  <si>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</si>
  <si>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</si>
  <si>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</si>
  <si>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</si>
  <si>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</si>
  <si>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</si>
  <si>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</si>
  <si>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</si>
  <si>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</si>
  <si>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</si>
  <si>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</si>
  <si>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</si>
  <si>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</si>
  <si>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</si>
  <si>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</si>
  <si>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</si>
  <si>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</si>
  <si>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</si>
  <si>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</si>
  <si>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</si>
  <si>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</si>
  <si>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</si>
  <si>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</si>
  <si>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</si>
  <si>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</si>
  <si>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</si>
  <si>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</si>
  <si>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</si>
  <si>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</si>
  <si>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</si>
  <si>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</si>
  <si>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</si>
  <si>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</si>
  <si>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</si>
  <si>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</si>
  <si>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</si>
  <si>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</si>
  <si>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</si>
  <si>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</si>
  <si>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</si>
  <si>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</si>
  <si>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</si>
  <si>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</si>
  <si>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</si>
  <si>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</si>
  <si>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</si>
  <si>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</si>
  <si>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</si>
  <si>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</si>
  <si>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</si>
  <si>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</si>
  <si>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</si>
  <si>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</si>
  <si>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</si>
  <si>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</si>
  <si>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</si>
  <si>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</si>
  <si>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</si>
  <si>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</si>
  <si>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</si>
  <si>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</si>
  <si>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</si>
  <si>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</si>
  <si>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</si>
  <si>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</si>
  <si>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</si>
  <si>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</si>
  <si>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</si>
  <si>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</si>
  <si>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</si>
  <si>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</si>
  <si>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</si>
  <si>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</si>
  <si>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</si>
  <si>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</si>
  <si>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</si>
  <si>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</si>
  <si>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</si>
  <si>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</si>
  <si>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</si>
  <si>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</si>
  <si>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</si>
  <si>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</si>
  <si>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</si>
  <si>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</si>
  <si>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</si>
  <si>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</si>
  <si>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</si>
  <si>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</si>
  <si>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</si>
  <si>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</si>
  <si>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</si>
  <si>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</si>
  <si>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</si>
  <si>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</si>
  <si>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</si>
  <si>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</si>
  <si>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</si>
  <si>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</si>
  <si>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</si>
  <si>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</si>
  <si>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</si>
  <si>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</si>
  <si>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</si>
  <si>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</si>
  <si>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</si>
  <si>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</si>
  <si>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</si>
  <si>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</si>
  <si>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</si>
  <si>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</si>
  <si>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</si>
  <si>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</si>
  <si>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</si>
  <si>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</si>
  <si>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</si>
  <si>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</si>
  <si>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</si>
  <si>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</si>
  <si>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</si>
  <si>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</si>
  <si>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</si>
  <si>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</si>
  <si>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</si>
  <si>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</si>
  <si>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</si>
  <si>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</si>
  <si>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</si>
  <si>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</si>
  <si>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</si>
  <si>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</si>
  <si>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</si>
  <si>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</si>
  <si>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</si>
  <si>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</si>
  <si>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</si>
  <si>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</si>
  <si>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</si>
  <si>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</si>
  <si>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</si>
  <si>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</si>
  <si>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</si>
  <si>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</si>
  <si>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</si>
  <si>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</si>
  <si>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</si>
  <si>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</si>
  <si>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</si>
  <si>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</si>
  <si>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</si>
  <si>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</si>
  <si>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</si>
  <si>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</si>
  <si>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</si>
  <si>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</si>
  <si>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</si>
  <si>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</si>
  <si>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</si>
  <si>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</si>
  <si>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</si>
  <si>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</si>
  <si>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</si>
  <si>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</si>
  <si>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</si>
  <si>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</si>
  <si>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</si>
  <si>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</si>
  <si>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</si>
  <si>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</si>
  <si>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</si>
  <si>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</si>
  <si>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</si>
  <si>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</si>
  <si>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</si>
  <si>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</si>
  <si>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</si>
  <si>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</si>
  <si>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</si>
  <si>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</si>
  <si>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</si>
  <si>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</si>
  <si>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</si>
  <si>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</si>
  <si>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</si>
  <si>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</si>
  <si>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</si>
  <si>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</si>
  <si>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</si>
  <si>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</si>
  <si>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</si>
  <si>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</si>
  <si>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</si>
  <si>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</si>
  <si>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</si>
  <si>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</si>
  <si>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</si>
  <si>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</si>
  <si>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</si>
  <si>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</si>
  <si>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</si>
  <si>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</si>
  <si>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</si>
  <si>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</si>
  <si>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</si>
  <si>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</si>
  <si>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</si>
  <si>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</si>
  <si>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</si>
  <si>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</si>
  <si>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</si>
  <si>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</si>
  <si>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</si>
  <si>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</si>
  <si>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</si>
  <si>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</si>
  <si>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</si>
  <si>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</si>
  <si>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</si>
  <si>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</si>
  <si>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</si>
  <si>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</si>
  <si>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</si>
  <si>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</si>
  <si>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</si>
  <si>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</si>
  <si>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</si>
  <si>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</si>
  <si>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</si>
  <si>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</si>
  <si>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</si>
  <si>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</si>
  <si>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</si>
  <si>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</si>
  <si>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</si>
  <si>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</si>
  <si>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</si>
  <si>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</si>
  <si>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</si>
  <si>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</si>
  <si>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</si>
  <si>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</si>
  <si>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</si>
  <si>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</si>
  <si>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</si>
  <si>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</si>
  <si>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</si>
  <si>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</si>
  <si>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</si>
  <si>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</si>
  <si>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</si>
  <si>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</si>
  <si>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</si>
  <si>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</si>
  <si>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</si>
  <si>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</si>
  <si>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</si>
  <si>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</si>
  <si>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</si>
  <si>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</si>
  <si>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</si>
  <si>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</si>
  <si>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</si>
  <si>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</si>
  <si>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</si>
  <si>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</si>
  <si>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</si>
  <si>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</si>
  <si>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</si>
  <si>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</si>
  <si>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</si>
  <si>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</si>
  <si>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</si>
  <si>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</si>
  <si>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</si>
  <si>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</si>
  <si>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</si>
  <si>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</si>
  <si>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</si>
  <si>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</si>
  <si>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</si>
  <si>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</si>
  <si>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</si>
  <si>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</si>
  <si>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</si>
  <si>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</si>
  <si>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</si>
  <si>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</si>
  <si>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</si>
  <si>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</si>
  <si>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</si>
  <si>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</si>
  <si>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</si>
  <si>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</si>
  <si>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</si>
  <si>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</si>
  <si>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</si>
  <si>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</si>
  <si>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</si>
  <si>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</si>
  <si>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</si>
  <si>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</si>
  <si>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</si>
  <si>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</si>
  <si>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</si>
  <si>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</si>
  <si>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</si>
  <si>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</si>
  <si>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</si>
  <si>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</si>
  <si>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</si>
  <si>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</si>
  <si>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</si>
  <si>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</si>
  <si>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</si>
  <si>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</si>
  <si>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</si>
  <si>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</si>
  <si>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</si>
  <si>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</si>
  <si>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</si>
  <si>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</si>
  <si>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</si>
  <si>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</si>
  <si>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</si>
  <si>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</si>
  <si>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</si>
  <si>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</si>
  <si>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</si>
  <si>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</si>
  <si>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</si>
  <si>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</si>
  <si>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</si>
  <si>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</si>
  <si>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</si>
  <si>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</si>
  <si>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</si>
  <si>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</si>
  <si>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</si>
  <si>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</si>
  <si>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</si>
  <si>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</si>
  <si>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</si>
  <si>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</si>
  <si>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</si>
  <si>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</si>
  <si>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</si>
  <si>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</si>
  <si>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</si>
  <si>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</si>
  <si>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</si>
  <si>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</si>
  <si>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</si>
  <si>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</si>
  <si>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</si>
  <si>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</si>
  <si>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</si>
  <si>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</si>
  <si>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</si>
  <si>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</si>
  <si>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</si>
  <si>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</si>
  <si>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</si>
  <si>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</si>
  <si>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</si>
  <si>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</si>
  <si>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</si>
  <si>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</si>
  <si>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</si>
  <si>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</si>
  <si>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</si>
  <si>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</si>
  <si>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</si>
  <si>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</si>
  <si>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</si>
  <si>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</si>
  <si>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</si>
  <si>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</si>
  <si>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</si>
  <si>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</si>
  <si>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</si>
  <si>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</si>
  <si>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</si>
  <si>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</si>
  <si>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</si>
  <si>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</si>
  <si>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</si>
  <si>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</si>
  <si>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</si>
  <si>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</si>
  <si>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</si>
  <si>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</si>
  <si>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</si>
  <si>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</si>
  <si>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</si>
  <si>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</si>
  <si>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</si>
  <si>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</si>
  <si>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</si>
  <si>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</si>
  <si>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</si>
  <si>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</si>
  <si>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</si>
  <si>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</si>
  <si>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</si>
  <si>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</si>
  <si>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</si>
  <si>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</si>
  <si>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</si>
  <si>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</si>
  <si>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</si>
  <si>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</si>
  <si>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</si>
  <si>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</si>
  <si>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</si>
  <si>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</si>
  <si>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</si>
  <si>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</si>
  <si>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</si>
  <si>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</si>
  <si>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</si>
  <si>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</si>
  <si>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</si>
  <si>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</si>
  <si>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</si>
  <si>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</si>
  <si>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</si>
  <si>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</si>
  <si>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</si>
  <si>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</si>
  <si>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</si>
  <si>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</si>
  <si>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</si>
  <si>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</si>
  <si>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</si>
  <si>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</si>
  <si>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</si>
  <si>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</si>
  <si>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</si>
  <si>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</si>
  <si>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</si>
  <si>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</si>
  <si>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</si>
  <si>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</si>
  <si>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</si>
  <si>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</si>
  <si>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</si>
  <si>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</si>
  <si>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</si>
  <si>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</si>
  <si>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</si>
  <si>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</si>
  <si>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</si>
  <si>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</si>
  <si>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</si>
  <si>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</si>
  <si>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</si>
  <si>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</si>
  <si>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</si>
  <si>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</si>
  <si>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</si>
  <si>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</si>
  <si>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</si>
  <si>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</si>
  <si>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</si>
  <si>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</si>
  <si>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</si>
  <si>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</si>
  <si>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</si>
  <si>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</si>
  <si>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</si>
  <si>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</si>
  <si>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</si>
  <si>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</si>
  <si>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</si>
  <si>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</si>
  <si>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</si>
  <si>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</si>
  <si>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</si>
  <si>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</si>
  <si>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</si>
  <si>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</si>
  <si>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</si>
  <si>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</si>
  <si>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</si>
  <si>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</si>
  <si>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</si>
  <si>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</si>
  <si>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</si>
  <si>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</si>
  <si>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</si>
  <si>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</si>
  <si>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</si>
  <si>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</si>
  <si>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</si>
  <si>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</si>
  <si>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</si>
  <si>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</si>
  <si>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</si>
  <si>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</si>
  <si>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</si>
  <si>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</si>
  <si>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</si>
  <si>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</si>
  <si>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</si>
  <si>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</si>
  <si>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</si>
  <si>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</si>
  <si>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</si>
  <si>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</si>
  <si>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</si>
  <si>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</si>
  <si>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</si>
  <si>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</si>
  <si>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</si>
  <si>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</si>
  <si>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</si>
  <si>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</si>
  <si>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</si>
  <si>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</si>
  <si>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</si>
  <si>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</si>
  <si>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</si>
  <si>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</si>
  <si>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</si>
  <si>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</si>
  <si>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</si>
  <si>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</si>
  <si>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</si>
  <si>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</si>
  <si>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</si>
  <si>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</si>
  <si>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</si>
  <si>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</si>
  <si>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</si>
  <si>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</si>
  <si>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</si>
  <si>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</si>
  <si>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</si>
  <si>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</si>
  <si>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</si>
  <si>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</si>
  <si>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</si>
  <si>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</si>
  <si>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</si>
  <si>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</si>
  <si>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</si>
  <si>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</si>
  <si>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</si>
  <si>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</si>
  <si>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</si>
  <si>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</si>
  <si>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</si>
  <si>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</si>
  <si>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</si>
  <si>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</si>
  <si>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</si>
  <si>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</si>
  <si>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</si>
  <si>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</si>
  <si>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</si>
  <si>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</si>
  <si>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</si>
  <si>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</si>
  <si>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</si>
  <si>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</si>
  <si>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</si>
  <si>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</si>
  <si>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</si>
  <si>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</si>
  <si>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</si>
  <si>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</si>
  <si>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</si>
  <si>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</si>
  <si>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</si>
  <si>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</si>
  <si>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</si>
  <si>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</si>
  <si>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</si>
  <si>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</si>
  <si>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</si>
  <si>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</si>
  <si>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</si>
  <si>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</si>
  <si>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</si>
  <si>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</si>
  <si>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</si>
  <si>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</si>
  <si>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</si>
  <si>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</si>
  <si>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</si>
  <si>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</si>
  <si>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</si>
  <si>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</si>
  <si>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</si>
  <si>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</si>
  <si>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</si>
  <si>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</si>
  <si>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</si>
  <si>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</si>
  <si>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</si>
  <si>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</si>
  <si>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</si>
  <si>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</si>
  <si>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</si>
  <si>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</si>
  <si>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</si>
  <si>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</si>
  <si>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</si>
  <si>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</si>
  <si>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</si>
  <si>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</si>
  <si>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</si>
  <si>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</si>
  <si>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</si>
  <si>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</si>
  <si>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</si>
  <si>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</si>
  <si>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</si>
  <si>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</si>
  <si>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</si>
  <si>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</si>
  <si>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</si>
  <si>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</si>
  <si>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</si>
  <si>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</si>
  <si>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</si>
  <si>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</si>
  <si>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</si>
  <si>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</si>
  <si>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</si>
  <si>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</si>
  <si>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</si>
  <si>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</si>
  <si>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</si>
  <si>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</si>
  <si>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</si>
  <si>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</si>
  <si>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</si>
  <si>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</si>
  <si>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</si>
  <si>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</si>
  <si>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</si>
  <si>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</si>
  <si>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</si>
  <si>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</si>
  <si>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</si>
  <si>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</si>
  <si>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</si>
  <si>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</si>
  <si>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</si>
  <si>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</si>
  <si>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</si>
  <si>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</si>
  <si>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</si>
  <si>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</si>
  <si>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</si>
  <si>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</si>
  <si>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</si>
  <si>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</si>
  <si>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</si>
  <si>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</si>
  <si>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</si>
  <si>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</si>
  <si>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</si>
  <si>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</si>
  <si>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</si>
  <si>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</si>
  <si>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</si>
  <si>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</si>
  <si>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</si>
  <si>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</si>
  <si>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</si>
  <si>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</si>
  <si>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</si>
  <si>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</si>
  <si>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</si>
  <si>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</si>
  <si>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</si>
  <si>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</si>
  <si>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</si>
  <si>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</si>
  <si>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</si>
  <si>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</si>
  <si>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</si>
  <si>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</si>
  <si>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</si>
  <si>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</si>
  <si>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</si>
  <si>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</si>
  <si>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</si>
  <si>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</si>
  <si>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</si>
  <si>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</si>
  <si>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</si>
  <si>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</si>
  <si>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</si>
  <si>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</si>
  <si>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</si>
  <si>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</si>
  <si>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</si>
  <si>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</si>
  <si>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</si>
  <si>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</si>
  <si>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</si>
  <si>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</si>
  <si>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</si>
  <si>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</si>
  <si>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</si>
  <si>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</si>
  <si>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</si>
  <si>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</si>
  <si>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</si>
  <si>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</si>
  <si>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</si>
  <si>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</si>
  <si>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</si>
  <si>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</si>
  <si>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</si>
  <si>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</si>
  <si>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</si>
  <si>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</si>
  <si>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</si>
  <si>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</si>
  <si>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</si>
  <si>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</si>
  <si>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</si>
  <si>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</si>
  <si>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</si>
  <si>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</si>
  <si>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</si>
  <si>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</si>
  <si>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</si>
  <si>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</si>
  <si>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</si>
  <si>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</si>
  <si>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</si>
  <si>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</si>
  <si>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</si>
  <si>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</si>
  <si>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</si>
  <si>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</si>
  <si>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</si>
  <si>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</si>
  <si>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</si>
  <si>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</si>
  <si>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</si>
  <si>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</si>
  <si>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</si>
  <si>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</si>
  <si>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</si>
  <si>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</si>
  <si>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</si>
  <si>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</si>
  <si>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</si>
  <si>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</si>
  <si>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</si>
  <si>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</si>
  <si>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</si>
  <si>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</si>
  <si>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</si>
  <si>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</si>
  <si>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</si>
  <si>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</si>
  <si>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</si>
  <si>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</si>
  <si>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</si>
  <si>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</si>
  <si>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</si>
  <si>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</si>
  <si>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</si>
  <si>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</si>
  <si>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</si>
  <si>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</si>
  <si>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</si>
  <si>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</si>
  <si>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</si>
  <si>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</si>
  <si>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</si>
  <si>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</si>
  <si>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</si>
  <si>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</si>
  <si>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</si>
  <si>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</si>
  <si>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</si>
  <si>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</si>
  <si>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</si>
  <si>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</si>
  <si>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</si>
  <si>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</si>
  <si>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</si>
  <si>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</si>
  <si>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</si>
  <si>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</si>
  <si>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</si>
  <si>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</si>
  <si>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</si>
  <si>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</si>
  <si>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</si>
  <si>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</si>
  <si>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</si>
  <si>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</si>
  <si>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</si>
  <si>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</si>
  <si>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</si>
  <si>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</si>
  <si>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</si>
  <si>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</si>
  <si>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</si>
  <si>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</si>
  <si>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</si>
  <si>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</si>
  <si>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</si>
  <si>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</si>
  <si>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</si>
  <si>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</si>
  <si>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</si>
  <si>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</si>
  <si>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</si>
  <si>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</si>
  <si>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</si>
  <si>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</si>
  <si>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</si>
  <si>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</si>
  <si>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</si>
  <si>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</si>
  <si>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</si>
  <si>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</si>
  <si>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</si>
  <si>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</si>
  <si>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</si>
  <si>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</si>
  <si>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</si>
  <si>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</si>
  <si>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</si>
  <si>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</si>
  <si>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</si>
  <si>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</si>
  <si>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</si>
  <si>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</si>
  <si>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</si>
  <si>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</si>
  <si>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</si>
  <si>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</si>
  <si>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</si>
  <si>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</si>
  <si>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</si>
  <si>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</si>
  <si>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</si>
  <si>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</si>
  <si>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</si>
  <si>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</si>
  <si>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</si>
  <si>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</si>
  <si>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</si>
  <si>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</si>
  <si>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</si>
  <si>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</si>
  <si>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</si>
  <si>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</si>
  <si>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</si>
  <si>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</si>
  <si>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</si>
  <si>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</si>
  <si>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</si>
  <si>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</si>
  <si>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</si>
  <si>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</si>
  <si>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</si>
  <si>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</si>
  <si>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Sustainability report prepared on a consolidated basis</t>
  </si>
  <si>
    <t>NACE G - 47.21 Retail sale of fruit and vegetables</t>
  </si>
  <si>
    <t>NACE G - 47.22 Retail sale of meat and meat products</t>
  </si>
  <si>
    <t>Full-time equivalent (FTE)</t>
  </si>
  <si>
    <t>Milan</t>
  </si>
  <si>
    <t>cubic meters (m3)</t>
  </si>
  <si>
    <t>Packaging, boxes for produce/meat</t>
  </si>
  <si>
    <t>Wrapping, trays, containers</t>
  </si>
  <si>
    <t>m³ - cubic meters</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</si>
  <si>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</si>
  <si>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</si>
  <si>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</si>
  <si>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</si>
  <si>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</si>
  <si>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</si>
  <si>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</si>
  <si>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</si>
  <si>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</si>
  <si>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</si>
  <si>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</si>
  <si>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</si>
  <si>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</si>
  <si>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</si>
  <si>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</si>
  <si>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</si>
  <si>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</si>
  <si>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</si>
  <si>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</si>
  <si>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</si>
  <si>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</si>
  <si>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</si>
  <si>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</si>
  <si>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</si>
  <si>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</si>
  <si>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</si>
  <si>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</si>
  <si>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</si>
  <si>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</si>
  <si>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</si>
  <si>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</si>
  <si>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</si>
  <si>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</si>
  <si>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</si>
  <si>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</si>
  <si>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</si>
  <si>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</si>
  <si>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</si>
  <si>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</si>
  <si>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</si>
  <si>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</si>
  <si>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</si>
  <si>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</si>
  <si>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</si>
  <si>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</si>
  <si>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</si>
  <si>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</si>
  <si>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</si>
  <si>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</si>
  <si>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</si>
  <si>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</si>
  <si>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</si>
  <si>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</si>
  <si>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</si>
  <si>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</si>
  <si>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</si>
  <si>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</si>
  <si>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</si>
  <si>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</si>
  <si>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</si>
  <si>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</si>
  <si>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</si>
  <si>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</si>
  <si>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</si>
  <si>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</si>
  <si>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</si>
  <si>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</si>
  <si>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</si>
  <si>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</si>
  <si>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</si>
  <si>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</si>
  <si>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</si>
  <si>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</si>
  <si>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</si>
  <si>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</si>
  <si>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</si>
  <si>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</si>
  <si>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</si>
  <si>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</si>
  <si>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</si>
  <si>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</si>
  <si>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</si>
  <si>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</si>
  <si>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</si>
  <si>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</si>
  <si>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t>squared meters (m2)</t>
  </si>
  <si>
    <r>
      <rPr>
        <sz val="11"/>
        <rFont val="Aptos Narrow"/>
        <family val="2"/>
        <scheme val="minor"/>
      </rPr>
      <t xml:space="preserve">Fuels (see </t>
    </r>
    <r>
      <rPr>
        <u/>
        <sz val="11"/>
        <color theme="10"/>
        <rFont val="Aptos Narrow"/>
        <family val="2"/>
        <scheme val="minor"/>
      </rPr>
      <t>Fuel Converter on Fuels worksheet</t>
    </r>
    <r>
      <rPr>
        <sz val="11"/>
        <rFont val="Aptos Narrow"/>
        <family val="2"/>
        <scheme val="minor"/>
      </rPr>
      <t>)</t>
    </r>
  </si>
  <si>
    <t>Company XYZ</t>
  </si>
  <si>
    <t>TestCode1234</t>
  </si>
  <si>
    <t>www.TestReport.com</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</si>
  <si>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</si>
  <si>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</si>
  <si>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</si>
  <si>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</si>
  <si>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</si>
  <si>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</si>
  <si>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Option B (Basic Module and Comprehensive Module)</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</si>
  <si>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</si>
  <si>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VSME Digital Template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</si>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</sst>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sz val="24"/>
      <color theme="1"/>
      <name val="Aptos Narrow"/>
      <family val="2"/>
      <scheme val="minor"/>
    </font>
    <font>
      <b/>
      <sz val="24"/>
      <color theme="1"/>
      <name val="Aptos Narrow"/>
      <family val="2"/>
      <scheme val="minor"/>
    </font>
    <font>
      <i/>
      <sz val="80"/>
      <color theme="1"/>
      <name val="Aptos Narrow"/>
      <family val="2"/>
      <scheme val="minor"/>
    </font>
    <font>
      <b/>
      <i/>
      <sz val="80"/>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3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0" fillId="22" borderId="0" xfId="0" applyFill="1"/>
    <xf numFmtId="0" fontId="44" fillId="7" borderId="28" xfId="0" applyFont="1" applyFill="1" applyBorder="1" applyAlignment="1">
      <alignment horizontal="center" vertical="center"/>
    </xf>
    <xf numFmtId="0" fontId="44" fillId="7" borderId="29" xfId="0" applyFont="1" applyFill="1" applyBorder="1" applyAlignment="1">
      <alignment horizontal="center" vertical="center"/>
    </xf>
    <xf numFmtId="0" fontId="44" fillId="7" borderId="31" xfId="0" applyFont="1" applyFill="1" applyBorder="1" applyAlignment="1">
      <alignment horizontal="center" vertical="center"/>
    </xf>
    <xf numFmtId="0" fontId="44" fillId="7" borderId="25" xfId="0" applyFont="1" applyFill="1" applyBorder="1" applyAlignment="1">
      <alignment horizontal="center" vertical="center"/>
    </xf>
    <xf numFmtId="0" fontId="44" fillId="7" borderId="0" xfId="0" applyFont="1" applyFill="1" applyAlignment="1">
      <alignment horizontal="center" vertical="center"/>
    </xf>
    <xf numFmtId="0" fontId="44" fillId="7" borderId="26" xfId="0" applyFont="1" applyFill="1" applyBorder="1" applyAlignment="1">
      <alignment horizontal="center" vertical="center"/>
    </xf>
    <xf numFmtId="0" fontId="44" fillId="7" borderId="45" xfId="0" applyFont="1" applyFill="1" applyBorder="1" applyAlignment="1">
      <alignment horizontal="center" vertical="center"/>
    </xf>
    <xf numFmtId="0" fontId="44" fillId="7" borderId="22" xfId="0" applyFont="1" applyFill="1" applyBorder="1" applyAlignment="1">
      <alignment horizontal="center" vertical="center"/>
    </xf>
    <xf numFmtId="0" fontId="44" fillId="7" borderId="23" xfId="0" applyFont="1" applyFill="1" applyBorder="1" applyAlignment="1">
      <alignment horizontal="center" vertical="center"/>
    </xf>
    <xf numFmtId="0" fontId="42" fillId="7" borderId="28" xfId="0" applyFont="1" applyFill="1" applyBorder="1" applyAlignment="1">
      <alignment horizontal="left" vertical="top" wrapText="1"/>
    </xf>
    <xf numFmtId="0" fontId="42" fillId="7" borderId="29" xfId="0" applyFont="1" applyFill="1" applyBorder="1" applyAlignment="1">
      <alignment horizontal="left" vertical="top" wrapText="1"/>
    </xf>
    <xf numFmtId="0" fontId="42" fillId="7" borderId="31" xfId="0" applyFont="1" applyFill="1" applyBorder="1" applyAlignment="1">
      <alignment horizontal="left" vertical="top" wrapText="1"/>
    </xf>
    <xf numFmtId="0" fontId="42" fillId="7" borderId="25" xfId="0" applyFont="1" applyFill="1" applyBorder="1" applyAlignment="1">
      <alignment horizontal="left" vertical="top" wrapText="1"/>
    </xf>
    <xf numFmtId="0" fontId="42" fillId="7" borderId="0" xfId="0" applyFont="1" applyFill="1" applyAlignment="1">
      <alignment horizontal="left" vertical="top" wrapText="1"/>
    </xf>
    <xf numFmtId="0" fontId="42" fillId="7" borderId="26" xfId="0" applyFont="1" applyFill="1" applyBorder="1" applyAlignment="1">
      <alignment horizontal="left" vertical="top" wrapText="1"/>
    </xf>
    <xf numFmtId="0" fontId="42" fillId="7" borderId="45" xfId="0" applyFont="1" applyFill="1" applyBorder="1" applyAlignment="1">
      <alignment horizontal="left" vertical="top" wrapText="1"/>
    </xf>
    <xf numFmtId="0" fontId="42" fillId="7" borderId="22" xfId="0" applyFont="1" applyFill="1" applyBorder="1" applyAlignment="1">
      <alignment horizontal="left" vertical="top" wrapText="1"/>
    </xf>
    <xf numFmtId="0" fontId="42"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45" xfId="3" applyFill="1" applyBorder="1"/>
    <xf numFmtId="0" fontId="6" fillId="0" borderId="22" xfId="3" applyFill="1" applyBorder="1"/>
    <xf numFmtId="0" fontId="6" fillId="0" borderId="2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6" borderId="21" xfId="0" applyNumberFormat="1" applyFill="1" applyBorder="1" applyAlignment="1" applyProtection="1">
      <alignment horizontal="right" wrapText="1"/>
      <protection locked="0"/>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BBEA-B5F2-4710-8B2E-2BB643378207}">
  <dimension ref="B1:W32"/>
  <sheetViews>
    <sheetView zoomScale="51" workbookViewId="0"/>
  </sheetViews>
  <sheetFormatPr defaultRowHeight="14.4" x14ac:dyDescent="0.3"/>
  <cols>
    <col min="1" max="12" width="8.88671875" style="443"/>
    <col min="13" max="13" width="9.21875" style="443" customWidth="1"/>
    <col min="14" max="16384" width="8.88671875" style="443"/>
  </cols>
  <sheetData>
    <row r="1" spans="2:23" ht="15" thickBot="1" x14ac:dyDescent="0.35"/>
    <row r="2" spans="2:23" x14ac:dyDescent="0.3">
      <c r="B2" s="444" t="s">
        <v>4843</v>
      </c>
      <c r="C2" s="445"/>
      <c r="D2" s="445"/>
      <c r="E2" s="445"/>
      <c r="F2" s="445"/>
      <c r="G2" s="445"/>
      <c r="H2" s="445"/>
      <c r="I2" s="445"/>
      <c r="J2" s="445"/>
      <c r="K2" s="445"/>
      <c r="L2" s="445"/>
      <c r="M2" s="445"/>
      <c r="N2" s="445"/>
      <c r="O2" s="445"/>
      <c r="P2" s="445"/>
      <c r="Q2" s="445"/>
      <c r="R2" s="445"/>
      <c r="S2" s="445"/>
      <c r="T2" s="445"/>
      <c r="U2" s="445"/>
      <c r="V2" s="445"/>
      <c r="W2" s="446"/>
    </row>
    <row r="3" spans="2:23" x14ac:dyDescent="0.3">
      <c r="B3" s="447"/>
      <c r="C3" s="448"/>
      <c r="D3" s="448"/>
      <c r="E3" s="448"/>
      <c r="F3" s="448"/>
      <c r="G3" s="448"/>
      <c r="H3" s="448"/>
      <c r="I3" s="448"/>
      <c r="J3" s="448"/>
      <c r="K3" s="448"/>
      <c r="L3" s="448"/>
      <c r="M3" s="448"/>
      <c r="N3" s="448"/>
      <c r="O3" s="448"/>
      <c r="P3" s="448"/>
      <c r="Q3" s="448"/>
      <c r="R3" s="448"/>
      <c r="S3" s="448"/>
      <c r="T3" s="448"/>
      <c r="U3" s="448"/>
      <c r="V3" s="448"/>
      <c r="W3" s="449"/>
    </row>
    <row r="4" spans="2:23" x14ac:dyDescent="0.3">
      <c r="B4" s="447"/>
      <c r="C4" s="448"/>
      <c r="D4" s="448"/>
      <c r="E4" s="448"/>
      <c r="F4" s="448"/>
      <c r="G4" s="448"/>
      <c r="H4" s="448"/>
      <c r="I4" s="448"/>
      <c r="J4" s="448"/>
      <c r="K4" s="448"/>
      <c r="L4" s="448"/>
      <c r="M4" s="448"/>
      <c r="N4" s="448"/>
      <c r="O4" s="448"/>
      <c r="P4" s="448"/>
      <c r="Q4" s="448"/>
      <c r="R4" s="448"/>
      <c r="S4" s="448"/>
      <c r="T4" s="448"/>
      <c r="U4" s="448"/>
      <c r="V4" s="448"/>
      <c r="W4" s="449"/>
    </row>
    <row r="5" spans="2:23" x14ac:dyDescent="0.3">
      <c r="B5" s="447"/>
      <c r="C5" s="448"/>
      <c r="D5" s="448"/>
      <c r="E5" s="448"/>
      <c r="F5" s="448"/>
      <c r="G5" s="448"/>
      <c r="H5" s="448"/>
      <c r="I5" s="448"/>
      <c r="J5" s="448"/>
      <c r="K5" s="448"/>
      <c r="L5" s="448"/>
      <c r="M5" s="448"/>
      <c r="N5" s="448"/>
      <c r="O5" s="448"/>
      <c r="P5" s="448"/>
      <c r="Q5" s="448"/>
      <c r="R5" s="448"/>
      <c r="S5" s="448"/>
      <c r="T5" s="448"/>
      <c r="U5" s="448"/>
      <c r="V5" s="448"/>
      <c r="W5" s="449"/>
    </row>
    <row r="6" spans="2:23" x14ac:dyDescent="0.3">
      <c r="B6" s="447"/>
      <c r="C6" s="448"/>
      <c r="D6" s="448"/>
      <c r="E6" s="448"/>
      <c r="F6" s="448"/>
      <c r="G6" s="448"/>
      <c r="H6" s="448"/>
      <c r="I6" s="448"/>
      <c r="J6" s="448"/>
      <c r="K6" s="448"/>
      <c r="L6" s="448"/>
      <c r="M6" s="448"/>
      <c r="N6" s="448"/>
      <c r="O6" s="448"/>
      <c r="P6" s="448"/>
      <c r="Q6" s="448"/>
      <c r="R6" s="448"/>
      <c r="S6" s="448"/>
      <c r="T6" s="448"/>
      <c r="U6" s="448"/>
      <c r="V6" s="448"/>
      <c r="W6" s="449"/>
    </row>
    <row r="7" spans="2:23" x14ac:dyDescent="0.3">
      <c r="B7" s="447"/>
      <c r="C7" s="448"/>
      <c r="D7" s="448"/>
      <c r="E7" s="448"/>
      <c r="F7" s="448"/>
      <c r="G7" s="448"/>
      <c r="H7" s="448"/>
      <c r="I7" s="448"/>
      <c r="J7" s="448"/>
      <c r="K7" s="448"/>
      <c r="L7" s="448"/>
      <c r="M7" s="448"/>
      <c r="N7" s="448"/>
      <c r="O7" s="448"/>
      <c r="P7" s="448"/>
      <c r="Q7" s="448"/>
      <c r="R7" s="448"/>
      <c r="S7" s="448"/>
      <c r="T7" s="448"/>
      <c r="U7" s="448"/>
      <c r="V7" s="448"/>
      <c r="W7" s="449"/>
    </row>
    <row r="8" spans="2:23" x14ac:dyDescent="0.3">
      <c r="B8" s="447"/>
      <c r="C8" s="448"/>
      <c r="D8" s="448"/>
      <c r="E8" s="448"/>
      <c r="F8" s="448"/>
      <c r="G8" s="448"/>
      <c r="H8" s="448"/>
      <c r="I8" s="448"/>
      <c r="J8" s="448"/>
      <c r="K8" s="448"/>
      <c r="L8" s="448"/>
      <c r="M8" s="448"/>
      <c r="N8" s="448"/>
      <c r="O8" s="448"/>
      <c r="P8" s="448"/>
      <c r="Q8" s="448"/>
      <c r="R8" s="448"/>
      <c r="S8" s="448"/>
      <c r="T8" s="448"/>
      <c r="U8" s="448"/>
      <c r="V8" s="448"/>
      <c r="W8" s="449"/>
    </row>
    <row r="9" spans="2:23" x14ac:dyDescent="0.3">
      <c r="B9" s="447"/>
      <c r="C9" s="448"/>
      <c r="D9" s="448"/>
      <c r="E9" s="448"/>
      <c r="F9" s="448"/>
      <c r="G9" s="448"/>
      <c r="H9" s="448"/>
      <c r="I9" s="448"/>
      <c r="J9" s="448"/>
      <c r="K9" s="448"/>
      <c r="L9" s="448"/>
      <c r="M9" s="448"/>
      <c r="N9" s="448"/>
      <c r="O9" s="448"/>
      <c r="P9" s="448"/>
      <c r="Q9" s="448"/>
      <c r="R9" s="448"/>
      <c r="S9" s="448"/>
      <c r="T9" s="448"/>
      <c r="U9" s="448"/>
      <c r="V9" s="448"/>
      <c r="W9" s="449"/>
    </row>
    <row r="10" spans="2:23" x14ac:dyDescent="0.3">
      <c r="B10" s="447"/>
      <c r="C10" s="448"/>
      <c r="D10" s="448"/>
      <c r="E10" s="448"/>
      <c r="F10" s="448"/>
      <c r="G10" s="448"/>
      <c r="H10" s="448"/>
      <c r="I10" s="448"/>
      <c r="J10" s="448"/>
      <c r="K10" s="448"/>
      <c r="L10" s="448"/>
      <c r="M10" s="448"/>
      <c r="N10" s="448"/>
      <c r="O10" s="448"/>
      <c r="P10" s="448"/>
      <c r="Q10" s="448"/>
      <c r="R10" s="448"/>
      <c r="S10" s="448"/>
      <c r="T10" s="448"/>
      <c r="U10" s="448"/>
      <c r="V10" s="448"/>
      <c r="W10" s="449"/>
    </row>
    <row r="11" spans="2:23" x14ac:dyDescent="0.3">
      <c r="B11" s="447"/>
      <c r="C11" s="448"/>
      <c r="D11" s="448"/>
      <c r="E11" s="448"/>
      <c r="F11" s="448"/>
      <c r="G11" s="448"/>
      <c r="H11" s="448"/>
      <c r="I11" s="448"/>
      <c r="J11" s="448"/>
      <c r="K11" s="448"/>
      <c r="L11" s="448"/>
      <c r="M11" s="448"/>
      <c r="N11" s="448"/>
      <c r="O11" s="448"/>
      <c r="P11" s="448"/>
      <c r="Q11" s="448"/>
      <c r="R11" s="448"/>
      <c r="S11" s="448"/>
      <c r="T11" s="448"/>
      <c r="U11" s="448"/>
      <c r="V11" s="448"/>
      <c r="W11" s="449"/>
    </row>
    <row r="12" spans="2:23" x14ac:dyDescent="0.3">
      <c r="B12" s="447"/>
      <c r="C12" s="448"/>
      <c r="D12" s="448"/>
      <c r="E12" s="448"/>
      <c r="F12" s="448"/>
      <c r="G12" s="448"/>
      <c r="H12" s="448"/>
      <c r="I12" s="448"/>
      <c r="J12" s="448"/>
      <c r="K12" s="448"/>
      <c r="L12" s="448"/>
      <c r="M12" s="448"/>
      <c r="N12" s="448"/>
      <c r="O12" s="448"/>
      <c r="P12" s="448"/>
      <c r="Q12" s="448"/>
      <c r="R12" s="448"/>
      <c r="S12" s="448"/>
      <c r="T12" s="448"/>
      <c r="U12" s="448"/>
      <c r="V12" s="448"/>
      <c r="W12" s="449"/>
    </row>
    <row r="13" spans="2:23" x14ac:dyDescent="0.3">
      <c r="B13" s="447"/>
      <c r="C13" s="448"/>
      <c r="D13" s="448"/>
      <c r="E13" s="448"/>
      <c r="F13" s="448"/>
      <c r="G13" s="448"/>
      <c r="H13" s="448"/>
      <c r="I13" s="448"/>
      <c r="J13" s="448"/>
      <c r="K13" s="448"/>
      <c r="L13" s="448"/>
      <c r="M13" s="448"/>
      <c r="N13" s="448"/>
      <c r="O13" s="448"/>
      <c r="P13" s="448"/>
      <c r="Q13" s="448"/>
      <c r="R13" s="448"/>
      <c r="S13" s="448"/>
      <c r="T13" s="448"/>
      <c r="U13" s="448"/>
      <c r="V13" s="448"/>
      <c r="W13" s="449"/>
    </row>
    <row r="14" spans="2:23" x14ac:dyDescent="0.3">
      <c r="B14" s="447"/>
      <c r="C14" s="448"/>
      <c r="D14" s="448"/>
      <c r="E14" s="448"/>
      <c r="F14" s="448"/>
      <c r="G14" s="448"/>
      <c r="H14" s="448"/>
      <c r="I14" s="448"/>
      <c r="J14" s="448"/>
      <c r="K14" s="448"/>
      <c r="L14" s="448"/>
      <c r="M14" s="448"/>
      <c r="N14" s="448"/>
      <c r="O14" s="448"/>
      <c r="P14" s="448"/>
      <c r="Q14" s="448"/>
      <c r="R14" s="448"/>
      <c r="S14" s="448"/>
      <c r="T14" s="448"/>
      <c r="U14" s="448"/>
      <c r="V14" s="448"/>
      <c r="W14" s="449"/>
    </row>
    <row r="15" spans="2:23" x14ac:dyDescent="0.3">
      <c r="B15" s="447"/>
      <c r="C15" s="448"/>
      <c r="D15" s="448"/>
      <c r="E15" s="448"/>
      <c r="F15" s="448"/>
      <c r="G15" s="448"/>
      <c r="H15" s="448"/>
      <c r="I15" s="448"/>
      <c r="J15" s="448"/>
      <c r="K15" s="448"/>
      <c r="L15" s="448"/>
      <c r="M15" s="448"/>
      <c r="N15" s="448"/>
      <c r="O15" s="448"/>
      <c r="P15" s="448"/>
      <c r="Q15" s="448"/>
      <c r="R15" s="448"/>
      <c r="S15" s="448"/>
      <c r="T15" s="448"/>
      <c r="U15" s="448"/>
      <c r="V15" s="448"/>
      <c r="W15" s="449"/>
    </row>
    <row r="16" spans="2:23" x14ac:dyDescent="0.3">
      <c r="B16" s="447"/>
      <c r="C16" s="448"/>
      <c r="D16" s="448"/>
      <c r="E16" s="448"/>
      <c r="F16" s="448"/>
      <c r="G16" s="448"/>
      <c r="H16" s="448"/>
      <c r="I16" s="448"/>
      <c r="J16" s="448"/>
      <c r="K16" s="448"/>
      <c r="L16" s="448"/>
      <c r="M16" s="448"/>
      <c r="N16" s="448"/>
      <c r="O16" s="448"/>
      <c r="P16" s="448"/>
      <c r="Q16" s="448"/>
      <c r="R16" s="448"/>
      <c r="S16" s="448"/>
      <c r="T16" s="448"/>
      <c r="U16" s="448"/>
      <c r="V16" s="448"/>
      <c r="W16" s="449"/>
    </row>
    <row r="17" spans="2:23" x14ac:dyDescent="0.3">
      <c r="B17" s="447"/>
      <c r="C17" s="448"/>
      <c r="D17" s="448"/>
      <c r="E17" s="448"/>
      <c r="F17" s="448"/>
      <c r="G17" s="448"/>
      <c r="H17" s="448"/>
      <c r="I17" s="448"/>
      <c r="J17" s="448"/>
      <c r="K17" s="448"/>
      <c r="L17" s="448"/>
      <c r="M17" s="448"/>
      <c r="N17" s="448"/>
      <c r="O17" s="448"/>
      <c r="P17" s="448"/>
      <c r="Q17" s="448"/>
      <c r="R17" s="448"/>
      <c r="S17" s="448"/>
      <c r="T17" s="448"/>
      <c r="U17" s="448"/>
      <c r="V17" s="448"/>
      <c r="W17" s="449"/>
    </row>
    <row r="18" spans="2:23" x14ac:dyDescent="0.3">
      <c r="B18" s="447"/>
      <c r="C18" s="448"/>
      <c r="D18" s="448"/>
      <c r="E18" s="448"/>
      <c r="F18" s="448"/>
      <c r="G18" s="448"/>
      <c r="H18" s="448"/>
      <c r="I18" s="448"/>
      <c r="J18" s="448"/>
      <c r="K18" s="448"/>
      <c r="L18" s="448"/>
      <c r="M18" s="448"/>
      <c r="N18" s="448"/>
      <c r="O18" s="448"/>
      <c r="P18" s="448"/>
      <c r="Q18" s="448"/>
      <c r="R18" s="448"/>
      <c r="S18" s="448"/>
      <c r="T18" s="448"/>
      <c r="U18" s="448"/>
      <c r="V18" s="448"/>
      <c r="W18" s="449"/>
    </row>
    <row r="19" spans="2:23" x14ac:dyDescent="0.3">
      <c r="B19" s="447"/>
      <c r="C19" s="448"/>
      <c r="D19" s="448"/>
      <c r="E19" s="448"/>
      <c r="F19" s="448"/>
      <c r="G19" s="448"/>
      <c r="H19" s="448"/>
      <c r="I19" s="448"/>
      <c r="J19" s="448"/>
      <c r="K19" s="448"/>
      <c r="L19" s="448"/>
      <c r="M19" s="448"/>
      <c r="N19" s="448"/>
      <c r="O19" s="448"/>
      <c r="P19" s="448"/>
      <c r="Q19" s="448"/>
      <c r="R19" s="448"/>
      <c r="S19" s="448"/>
      <c r="T19" s="448"/>
      <c r="U19" s="448"/>
      <c r="V19" s="448"/>
      <c r="W19" s="449"/>
    </row>
    <row r="20" spans="2:23" x14ac:dyDescent="0.3">
      <c r="B20" s="447"/>
      <c r="C20" s="448"/>
      <c r="D20" s="448"/>
      <c r="E20" s="448"/>
      <c r="F20" s="448"/>
      <c r="G20" s="448"/>
      <c r="H20" s="448"/>
      <c r="I20" s="448"/>
      <c r="J20" s="448"/>
      <c r="K20" s="448"/>
      <c r="L20" s="448"/>
      <c r="M20" s="448"/>
      <c r="N20" s="448"/>
      <c r="O20" s="448"/>
      <c r="P20" s="448"/>
      <c r="Q20" s="448"/>
      <c r="R20" s="448"/>
      <c r="S20" s="448"/>
      <c r="T20" s="448"/>
      <c r="U20" s="448"/>
      <c r="V20" s="448"/>
      <c r="W20" s="449"/>
    </row>
    <row r="21" spans="2:23" x14ac:dyDescent="0.3">
      <c r="B21" s="447"/>
      <c r="C21" s="448"/>
      <c r="D21" s="448"/>
      <c r="E21" s="448"/>
      <c r="F21" s="448"/>
      <c r="G21" s="448"/>
      <c r="H21" s="448"/>
      <c r="I21" s="448"/>
      <c r="J21" s="448"/>
      <c r="K21" s="448"/>
      <c r="L21" s="448"/>
      <c r="M21" s="448"/>
      <c r="N21" s="448"/>
      <c r="O21" s="448"/>
      <c r="P21" s="448"/>
      <c r="Q21" s="448"/>
      <c r="R21" s="448"/>
      <c r="S21" s="448"/>
      <c r="T21" s="448"/>
      <c r="U21" s="448"/>
      <c r="V21" s="448"/>
      <c r="W21" s="449"/>
    </row>
    <row r="22" spans="2:23" ht="15" thickBot="1" x14ac:dyDescent="0.35">
      <c r="B22" s="450"/>
      <c r="C22" s="451"/>
      <c r="D22" s="451"/>
      <c r="E22" s="451"/>
      <c r="F22" s="451"/>
      <c r="G22" s="451"/>
      <c r="H22" s="451"/>
      <c r="I22" s="451"/>
      <c r="J22" s="451"/>
      <c r="K22" s="451"/>
      <c r="L22" s="451"/>
      <c r="M22" s="451"/>
      <c r="N22" s="451"/>
      <c r="O22" s="451"/>
      <c r="P22" s="451"/>
      <c r="Q22" s="451"/>
      <c r="R22" s="451"/>
      <c r="S22" s="451"/>
      <c r="T22" s="451"/>
      <c r="U22" s="451"/>
      <c r="V22" s="451"/>
      <c r="W22" s="452"/>
    </row>
    <row r="23" spans="2:23" ht="15" thickBot="1" x14ac:dyDescent="0.35"/>
    <row r="24" spans="2:23" x14ac:dyDescent="0.3">
      <c r="B24" s="453" t="s">
        <v>4844</v>
      </c>
      <c r="C24" s="454"/>
      <c r="D24" s="454"/>
      <c r="E24" s="454"/>
      <c r="F24" s="454"/>
      <c r="G24" s="454"/>
      <c r="H24" s="454"/>
      <c r="I24" s="454"/>
      <c r="J24" s="454"/>
      <c r="K24" s="454"/>
      <c r="L24" s="454"/>
      <c r="M24" s="454"/>
      <c r="N24" s="454"/>
      <c r="O24" s="454"/>
      <c r="P24" s="454"/>
      <c r="Q24" s="454"/>
      <c r="R24" s="454"/>
      <c r="S24" s="454"/>
      <c r="T24" s="454"/>
      <c r="U24" s="454"/>
      <c r="V24" s="454"/>
      <c r="W24" s="455"/>
    </row>
    <row r="25" spans="2:23" ht="14.4" customHeight="1" x14ac:dyDescent="0.3">
      <c r="B25" s="456"/>
      <c r="C25" s="457"/>
      <c r="D25" s="457"/>
      <c r="E25" s="457"/>
      <c r="F25" s="457"/>
      <c r="G25" s="457"/>
      <c r="H25" s="457"/>
      <c r="I25" s="457"/>
      <c r="J25" s="457"/>
      <c r="K25" s="457"/>
      <c r="L25" s="457"/>
      <c r="M25" s="457"/>
      <c r="N25" s="457"/>
      <c r="O25" s="457"/>
      <c r="P25" s="457"/>
      <c r="Q25" s="457"/>
      <c r="R25" s="457"/>
      <c r="S25" s="457"/>
      <c r="T25" s="457"/>
      <c r="U25" s="457"/>
      <c r="V25" s="457"/>
      <c r="W25" s="458"/>
    </row>
    <row r="26" spans="2:23" ht="14.4" customHeight="1" x14ac:dyDescent="0.3">
      <c r="B26" s="456"/>
      <c r="C26" s="457"/>
      <c r="D26" s="457"/>
      <c r="E26" s="457"/>
      <c r="F26" s="457"/>
      <c r="G26" s="457"/>
      <c r="H26" s="457"/>
      <c r="I26" s="457"/>
      <c r="J26" s="457"/>
      <c r="K26" s="457"/>
      <c r="L26" s="457"/>
      <c r="M26" s="457"/>
      <c r="N26" s="457"/>
      <c r="O26" s="457"/>
      <c r="P26" s="457"/>
      <c r="Q26" s="457"/>
      <c r="R26" s="457"/>
      <c r="S26" s="457"/>
      <c r="T26" s="457"/>
      <c r="U26" s="457"/>
      <c r="V26" s="457"/>
      <c r="W26" s="458"/>
    </row>
    <row r="27" spans="2:23" ht="14.4" customHeight="1" x14ac:dyDescent="0.3">
      <c r="B27" s="456"/>
      <c r="C27" s="457"/>
      <c r="D27" s="457"/>
      <c r="E27" s="457"/>
      <c r="F27" s="457"/>
      <c r="G27" s="457"/>
      <c r="H27" s="457"/>
      <c r="I27" s="457"/>
      <c r="J27" s="457"/>
      <c r="K27" s="457"/>
      <c r="L27" s="457"/>
      <c r="M27" s="457"/>
      <c r="N27" s="457"/>
      <c r="O27" s="457"/>
      <c r="P27" s="457"/>
      <c r="Q27" s="457"/>
      <c r="R27" s="457"/>
      <c r="S27" s="457"/>
      <c r="T27" s="457"/>
      <c r="U27" s="457"/>
      <c r="V27" s="457"/>
      <c r="W27" s="458"/>
    </row>
    <row r="28" spans="2:23" ht="14.4" customHeight="1" x14ac:dyDescent="0.3">
      <c r="B28" s="456"/>
      <c r="C28" s="457"/>
      <c r="D28" s="457"/>
      <c r="E28" s="457"/>
      <c r="F28" s="457"/>
      <c r="G28" s="457"/>
      <c r="H28" s="457"/>
      <c r="I28" s="457"/>
      <c r="J28" s="457"/>
      <c r="K28" s="457"/>
      <c r="L28" s="457"/>
      <c r="M28" s="457"/>
      <c r="N28" s="457"/>
      <c r="O28" s="457"/>
      <c r="P28" s="457"/>
      <c r="Q28" s="457"/>
      <c r="R28" s="457"/>
      <c r="S28" s="457"/>
      <c r="T28" s="457"/>
      <c r="U28" s="457"/>
      <c r="V28" s="457"/>
      <c r="W28" s="458"/>
    </row>
    <row r="29" spans="2:23" ht="10.8" customHeight="1" x14ac:dyDescent="0.3">
      <c r="B29" s="456"/>
      <c r="C29" s="457"/>
      <c r="D29" s="457"/>
      <c r="E29" s="457"/>
      <c r="F29" s="457"/>
      <c r="G29" s="457"/>
      <c r="H29" s="457"/>
      <c r="I29" s="457"/>
      <c r="J29" s="457"/>
      <c r="K29" s="457"/>
      <c r="L29" s="457"/>
      <c r="M29" s="457"/>
      <c r="N29" s="457"/>
      <c r="O29" s="457"/>
      <c r="P29" s="457"/>
      <c r="Q29" s="457"/>
      <c r="R29" s="457"/>
      <c r="S29" s="457"/>
      <c r="T29" s="457"/>
      <c r="U29" s="457"/>
      <c r="V29" s="457"/>
      <c r="W29" s="458"/>
    </row>
    <row r="30" spans="2:23" ht="14.4" hidden="1" customHeight="1" x14ac:dyDescent="0.3">
      <c r="B30" s="456"/>
      <c r="C30" s="457"/>
      <c r="D30" s="457"/>
      <c r="E30" s="457"/>
      <c r="F30" s="457"/>
      <c r="G30" s="457"/>
      <c r="H30" s="457"/>
      <c r="I30" s="457"/>
      <c r="J30" s="457"/>
      <c r="K30" s="457"/>
      <c r="L30" s="457"/>
      <c r="M30" s="457"/>
      <c r="N30" s="457"/>
      <c r="O30" s="457"/>
      <c r="P30" s="457"/>
      <c r="Q30" s="457"/>
      <c r="R30" s="457"/>
      <c r="S30" s="457"/>
      <c r="T30" s="457"/>
      <c r="U30" s="457"/>
      <c r="V30" s="457"/>
      <c r="W30" s="458"/>
    </row>
    <row r="31" spans="2:23" ht="15" hidden="1" customHeight="1" thickBot="1" x14ac:dyDescent="0.3">
      <c r="B31" s="456"/>
      <c r="C31" s="457"/>
      <c r="D31" s="457"/>
      <c r="E31" s="457"/>
      <c r="F31" s="457"/>
      <c r="G31" s="457"/>
      <c r="H31" s="457"/>
      <c r="I31" s="457"/>
      <c r="J31" s="457"/>
      <c r="K31" s="457"/>
      <c r="L31" s="457"/>
      <c r="M31" s="457"/>
      <c r="N31" s="457"/>
      <c r="O31" s="457"/>
      <c r="P31" s="457"/>
      <c r="Q31" s="457"/>
      <c r="R31" s="457"/>
      <c r="S31" s="457"/>
      <c r="T31" s="457"/>
      <c r="U31" s="457"/>
      <c r="V31" s="457"/>
      <c r="W31" s="458"/>
    </row>
    <row r="32" spans="2:23" ht="15" thickBot="1" x14ac:dyDescent="0.35">
      <c r="B32" s="459"/>
      <c r="C32" s="460"/>
      <c r="D32" s="460"/>
      <c r="E32" s="460"/>
      <c r="F32" s="460"/>
      <c r="G32" s="460"/>
      <c r="H32" s="460"/>
      <c r="I32" s="460"/>
      <c r="J32" s="460"/>
      <c r="K32" s="460"/>
      <c r="L32" s="460"/>
      <c r="M32" s="460"/>
      <c r="N32" s="460"/>
      <c r="O32" s="460"/>
      <c r="P32" s="460"/>
      <c r="Q32" s="460"/>
      <c r="R32" s="460"/>
      <c r="S32" s="460"/>
      <c r="T32" s="460"/>
      <c r="U32" s="460"/>
      <c r="V32" s="460"/>
      <c r="W32" s="461"/>
    </row>
  </sheetData>
  <sheetProtection algorithmName="SHA-512" hashValue="Km0DKhVTpRCNIRx1V3iFuG5ecPI3vfMykVfKK8tbMOCLNRUB1FMvnb+oVRkiBROCu26L+KBPb0jg8BdItGfN1A==" saltValue="cK1gJNqSppVlfez96vA+FA==" spinCount="100000" sheet="1" objects="1" scenarios="1" formatColumns="0" formatRows="0"/>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opLeftCell="A11" zoomScale="70" zoomScaleNormal="60" workbookViewId="0">
      <selection activeCell="C28" sqref="C28:E28"/>
    </sheetView>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4744</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4842</v>
      </c>
    </row>
    <row r="11" spans="2:18" ht="324.60000000000002" customHeight="1" x14ac:dyDescent="0.3">
      <c r="B11" s="483" t="s">
        <v>4729</v>
      </c>
      <c r="C11" s="484"/>
      <c r="D11" s="484"/>
      <c r="E11" s="485"/>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71" t="s">
        <v>4453</v>
      </c>
      <c r="C15" s="472"/>
      <c r="D15" s="472"/>
      <c r="E15" s="473"/>
      <c r="F15" s="396"/>
      <c r="G15" s="396"/>
      <c r="H15" s="396"/>
      <c r="I15" s="396"/>
      <c r="J15" s="396"/>
      <c r="K15" s="396"/>
      <c r="L15" s="396"/>
      <c r="M15" s="396"/>
      <c r="N15" s="396"/>
      <c r="O15" s="396"/>
      <c r="P15" s="396"/>
      <c r="Q15" s="396"/>
      <c r="R15" s="396"/>
    </row>
    <row r="16" spans="2:18" ht="36.6" customHeight="1" x14ac:dyDescent="0.3">
      <c r="B16" s="471" t="s">
        <v>4728</v>
      </c>
      <c r="C16" s="472"/>
      <c r="D16" s="472"/>
      <c r="E16" s="473"/>
      <c r="F16" s="396"/>
      <c r="G16" s="396"/>
      <c r="H16" s="396"/>
      <c r="I16" s="396"/>
      <c r="J16" s="396"/>
      <c r="K16" s="396"/>
      <c r="L16" s="396"/>
      <c r="M16" s="396"/>
      <c r="N16" s="396"/>
      <c r="O16" s="396"/>
      <c r="P16" s="396"/>
      <c r="Q16" s="396"/>
      <c r="R16" s="396"/>
    </row>
    <row r="17" spans="1:18" ht="39.6" customHeight="1" x14ac:dyDescent="0.3">
      <c r="B17" s="474" t="s">
        <v>4820</v>
      </c>
      <c r="C17" s="475"/>
      <c r="D17" s="475"/>
      <c r="E17" s="476"/>
      <c r="F17" s="397"/>
      <c r="G17" s="397"/>
      <c r="H17" s="397"/>
      <c r="I17" s="397"/>
      <c r="J17" s="397"/>
      <c r="K17" s="397"/>
      <c r="L17" s="397"/>
      <c r="M17" s="397"/>
      <c r="N17" s="397"/>
      <c r="O17" s="397"/>
      <c r="P17" s="397"/>
      <c r="Q17" s="397"/>
      <c r="R17" s="397"/>
    </row>
    <row r="18" spans="1:18" ht="36" customHeight="1" x14ac:dyDescent="0.3">
      <c r="B18" s="471" t="s">
        <v>4659</v>
      </c>
      <c r="C18" s="472"/>
      <c r="D18" s="472"/>
      <c r="E18" s="473"/>
      <c r="F18" s="397"/>
      <c r="G18" s="397"/>
      <c r="H18" s="397"/>
      <c r="I18" s="397"/>
      <c r="J18" s="397"/>
      <c r="K18" s="397"/>
      <c r="L18" s="397"/>
      <c r="M18" s="397"/>
      <c r="N18" s="397"/>
      <c r="O18" s="397"/>
      <c r="P18" s="397"/>
      <c r="Q18" s="397"/>
      <c r="R18" s="397"/>
    </row>
    <row r="19" spans="1:18" s="398" customFormat="1" ht="18" x14ac:dyDescent="0.3">
      <c r="B19" s="474" t="s">
        <v>4452</v>
      </c>
      <c r="C19" s="475"/>
      <c r="D19" s="475"/>
      <c r="E19" s="476"/>
      <c r="F19" s="397"/>
      <c r="G19" s="397"/>
      <c r="H19" s="397"/>
      <c r="I19" s="397"/>
      <c r="J19" s="397"/>
      <c r="K19" s="397"/>
      <c r="L19" s="397"/>
      <c r="M19" s="397"/>
      <c r="N19" s="397"/>
      <c r="O19" s="397"/>
      <c r="P19" s="397"/>
      <c r="Q19" s="397"/>
      <c r="R19" s="397"/>
    </row>
    <row r="20" spans="1:18" ht="18" x14ac:dyDescent="0.3">
      <c r="B20" s="474" t="s">
        <v>4008</v>
      </c>
      <c r="C20" s="475"/>
      <c r="D20" s="475"/>
      <c r="E20" s="476"/>
      <c r="F20" s="397"/>
      <c r="G20" s="397"/>
      <c r="H20" s="397"/>
      <c r="I20" s="397"/>
      <c r="J20" s="397"/>
      <c r="K20" s="397"/>
      <c r="L20" s="397"/>
      <c r="M20" s="397"/>
      <c r="N20" s="397"/>
      <c r="O20" s="397"/>
      <c r="P20" s="397"/>
      <c r="Q20" s="397"/>
      <c r="R20" s="397"/>
    </row>
    <row r="21" spans="1:18" ht="24.6" customHeight="1" x14ac:dyDescent="0.3">
      <c r="B21" s="486" t="s">
        <v>4009</v>
      </c>
      <c r="C21" s="487"/>
      <c r="D21" s="487"/>
      <c r="E21" s="488"/>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80" t="s">
        <v>3628</v>
      </c>
      <c r="D24" s="481"/>
      <c r="E24" s="482"/>
      <c r="F24" s="395"/>
      <c r="G24" s="395"/>
      <c r="H24" s="395"/>
      <c r="I24" s="395"/>
      <c r="J24" s="395"/>
      <c r="K24" s="395"/>
      <c r="L24" s="395"/>
      <c r="M24" s="395"/>
      <c r="N24" s="395"/>
      <c r="O24" s="395"/>
      <c r="P24" s="395"/>
      <c r="Q24" s="395"/>
      <c r="R24" s="395"/>
    </row>
    <row r="25" spans="1:18" ht="34.5" customHeight="1" x14ac:dyDescent="0.35">
      <c r="A25" s="401"/>
      <c r="B25" s="402" t="s">
        <v>3298</v>
      </c>
      <c r="C25" s="480" t="s">
        <v>3626</v>
      </c>
      <c r="D25" s="481"/>
      <c r="E25" s="482"/>
      <c r="F25" s="395"/>
      <c r="G25" s="403"/>
      <c r="H25" s="403"/>
      <c r="I25" s="403"/>
      <c r="J25" s="403"/>
      <c r="K25" s="403"/>
      <c r="L25" s="403"/>
      <c r="M25" s="403"/>
      <c r="N25" s="403"/>
      <c r="O25" s="403"/>
      <c r="P25" s="403"/>
      <c r="Q25" s="403"/>
      <c r="R25" s="403"/>
    </row>
    <row r="26" spans="1:18" ht="35.700000000000003" customHeight="1" x14ac:dyDescent="0.35">
      <c r="A26" s="401"/>
      <c r="B26" s="404" t="s">
        <v>3299</v>
      </c>
      <c r="C26" s="480" t="s">
        <v>3625</v>
      </c>
      <c r="D26" s="481"/>
      <c r="E26" s="482"/>
      <c r="F26" s="395"/>
      <c r="G26" s="403"/>
      <c r="H26" s="403"/>
      <c r="I26" s="403"/>
      <c r="J26" s="403"/>
      <c r="K26" s="403"/>
      <c r="L26" s="403"/>
      <c r="M26" s="403"/>
      <c r="N26" s="403"/>
      <c r="O26" s="403"/>
      <c r="P26" s="403"/>
      <c r="Q26" s="403"/>
      <c r="R26" s="403"/>
    </row>
    <row r="27" spans="1:18" ht="35.85" customHeight="1" x14ac:dyDescent="0.35">
      <c r="A27" s="401"/>
      <c r="B27" s="405"/>
      <c r="C27" s="477" t="s">
        <v>4821</v>
      </c>
      <c r="D27" s="478"/>
      <c r="E27" s="479"/>
      <c r="F27" s="395"/>
      <c r="G27" s="406"/>
      <c r="H27" s="406"/>
      <c r="I27" s="406"/>
      <c r="J27" s="406"/>
      <c r="K27" s="406"/>
      <c r="L27" s="406"/>
      <c r="M27" s="406"/>
      <c r="N27" s="406"/>
      <c r="O27" s="406"/>
      <c r="P27" s="406"/>
      <c r="Q27" s="406"/>
      <c r="R27" s="406"/>
    </row>
    <row r="28" spans="1:18" ht="63" customHeight="1" x14ac:dyDescent="0.35">
      <c r="A28" s="401"/>
      <c r="B28" s="407"/>
      <c r="C28" s="477" t="s">
        <v>4511</v>
      </c>
      <c r="D28" s="478"/>
      <c r="E28" s="479"/>
      <c r="F28" s="395"/>
      <c r="G28" s="406"/>
      <c r="H28" s="406"/>
      <c r="I28" s="406"/>
      <c r="J28" s="406"/>
      <c r="K28" s="406"/>
      <c r="L28" s="406"/>
      <c r="M28" s="406"/>
      <c r="N28" s="406"/>
      <c r="O28" s="406"/>
      <c r="P28" s="406"/>
      <c r="Q28" s="406"/>
      <c r="R28" s="406"/>
    </row>
    <row r="29" spans="1:18" ht="35.85" customHeight="1" x14ac:dyDescent="0.35">
      <c r="A29" s="401"/>
      <c r="B29" s="408"/>
      <c r="C29" s="477" t="s">
        <v>3796</v>
      </c>
      <c r="D29" s="478"/>
      <c r="E29" s="479"/>
      <c r="F29" s="395"/>
      <c r="G29" s="406"/>
      <c r="H29" s="406"/>
      <c r="I29" s="406"/>
      <c r="J29" s="406"/>
      <c r="K29" s="406"/>
      <c r="L29" s="406"/>
      <c r="M29" s="406"/>
      <c r="N29" s="406"/>
      <c r="O29" s="406"/>
      <c r="P29" s="406"/>
      <c r="Q29" s="406"/>
      <c r="R29" s="406"/>
    </row>
    <row r="30" spans="1:18" ht="42" x14ac:dyDescent="0.35">
      <c r="B30" s="409" t="s">
        <v>4822</v>
      </c>
      <c r="C30" s="480" t="s">
        <v>3736</v>
      </c>
      <c r="D30" s="481"/>
      <c r="E30" s="482"/>
      <c r="F30" s="395"/>
      <c r="G30" s="403"/>
      <c r="H30" s="403"/>
      <c r="I30" s="403"/>
      <c r="J30" s="403"/>
      <c r="K30" s="403"/>
      <c r="L30" s="403"/>
      <c r="M30" s="403"/>
      <c r="N30" s="403"/>
      <c r="O30" s="403"/>
      <c r="P30" s="403"/>
      <c r="Q30" s="403"/>
      <c r="R30" s="403"/>
    </row>
    <row r="31" spans="1:18" ht="22.35" customHeight="1" x14ac:dyDescent="0.35">
      <c r="B31" s="410" t="s">
        <v>3300</v>
      </c>
      <c r="C31" s="480" t="s">
        <v>3630</v>
      </c>
      <c r="D31" s="481"/>
      <c r="E31" s="482"/>
      <c r="F31" s="395"/>
      <c r="G31" s="403"/>
      <c r="H31" s="403"/>
      <c r="I31" s="403"/>
      <c r="J31" s="403"/>
      <c r="K31" s="403"/>
      <c r="L31" s="403"/>
      <c r="M31" s="403"/>
      <c r="N31" s="403"/>
      <c r="O31" s="403"/>
      <c r="P31" s="403"/>
      <c r="Q31" s="403"/>
      <c r="R31" s="403"/>
    </row>
    <row r="32" spans="1:18" ht="22.35" customHeight="1" x14ac:dyDescent="0.35">
      <c r="B32" s="411"/>
      <c r="C32" s="480" t="s">
        <v>3793</v>
      </c>
      <c r="D32" s="481"/>
      <c r="E32" s="482"/>
      <c r="F32" s="395"/>
      <c r="G32" s="403"/>
      <c r="H32" s="403"/>
      <c r="I32" s="403"/>
      <c r="J32" s="403"/>
      <c r="K32" s="403"/>
      <c r="L32" s="403"/>
      <c r="M32" s="403"/>
      <c r="N32" s="403"/>
      <c r="O32" s="403"/>
      <c r="P32" s="403"/>
      <c r="Q32" s="403"/>
      <c r="R32" s="403"/>
    </row>
    <row r="33" spans="1:18" ht="45.75" customHeight="1" x14ac:dyDescent="0.35">
      <c r="A33" s="401"/>
      <c r="B33" s="412" t="s">
        <v>3291</v>
      </c>
      <c r="C33" s="477" t="s">
        <v>3737</v>
      </c>
      <c r="D33" s="478"/>
      <c r="E33" s="479"/>
      <c r="F33" s="395"/>
      <c r="G33" s="413"/>
      <c r="H33" s="413"/>
      <c r="I33" s="413"/>
      <c r="J33" s="413"/>
      <c r="K33" s="413"/>
      <c r="L33" s="413"/>
      <c r="M33" s="413"/>
      <c r="N33" s="413"/>
      <c r="O33" s="413"/>
      <c r="P33" s="413"/>
      <c r="Q33" s="413"/>
      <c r="R33" s="413"/>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7Yl/fr54QMO0DebtSx6OMpHqjo3W1eZCFUej9AtxIOdc2HPLMdJ8YQBpz+PsyBW7vM0qC9uibi2Wzq1LwdjDTA==" saltValue="60tS0K04fXlGm3As9BsGXg=="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election activeCell="C66" sqref="C66"/>
    </sheetView>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4" t="s">
        <v>4661</v>
      </c>
      <c r="C7" s="423" t="str">
        <f>IF(COUNTIF('General Information'!F18:F29, "MISSING VALUE") &gt; 0, "MISSING VALUE",
IF(COUNTIF('General Information'!F18:F29, "INVALID URL") &gt; 0, "INVALID URL",
IF(COUNTIF('General Information'!F18:F29, "OK") &gt; 0, "OK", "-")))</f>
        <v>OK</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8" t="s">
        <v>4664</v>
      </c>
      <c r="C12" s="423" t="str">
        <f>IF(COUNTIF('General Information'!F70:F94, "MISSING VALUE") &gt; 0, "MISSING VALUE", IF(COUNTIF('General Information'!F70:F94, "OK") &gt; 0, "OK", "-"))</f>
        <v>OK</v>
      </c>
    </row>
    <row r="13" spans="2:3" x14ac:dyDescent="0.3">
      <c r="B13" s="428" t="s">
        <v>4665</v>
      </c>
      <c r="C13" s="423" t="str">
        <f>IF(COUNTIF('General Information'!I100, "MISSING VALUE") &gt; 0, "MISSING VALUE", IF(COUNTIF('General Information'!I100, "OK") &gt; 0, "OK", "-"))</f>
        <v>OK</v>
      </c>
    </row>
    <row r="14" spans="2:3" x14ac:dyDescent="0.3">
      <c r="B14" s="428" t="s">
        <v>4666</v>
      </c>
      <c r="C14" s="423" t="str">
        <f>IF(COUNTIF('General Information'!I108:I132, "MISSING VALUE") &gt; 0, "MISSING VALUE", IF(COUNTIF('General Information'!I108:I132, "OK") &gt; 0, "OK", "-"))</f>
        <v>OK</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8" t="s">
        <v>4718</v>
      </c>
      <c r="C16" s="423" t="str">
        <f>IF(COUNTIF('General Information'!P139, "MISSING VALUE") &gt; 0, "MISSING VALUE", IF(COUNTIF('General Information'!P139, "OK") &gt; 0, "OK", "-"))</f>
        <v>OK</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2" t="s">
        <v>4720</v>
      </c>
      <c r="C20" s="423" t="str">
        <f>IF(COUNTIF('Environmental Disclosures'!L5, "MISSING VALUE") &gt; 0, "MISSING VALUE", IF(COUNTIF('Environmental Disclosures'!L5, "OK") &gt; 0, "OK", "-"))</f>
        <v>OK</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OK</v>
      </c>
    </row>
    <row r="23" spans="2:3" x14ac:dyDescent="0.3">
      <c r="B23" s="422" t="s">
        <v>4723</v>
      </c>
      <c r="C23" s="431" t="str">
        <f>IF(C22="OK", "OK", "-")</f>
        <v>OK</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2" t="s">
        <v>4726</v>
      </c>
      <c r="C29" s="423" t="str">
        <f>IF(COUNTIF('Environmental Disclosures'!E169:F170, "MISSING VALUE") &gt; 0, "MISSING VALUE", IF(COUNTIF('Environmental Disclosures'!E169:F170, "OK") &gt; 0, "OK", "-"))</f>
        <v>OK</v>
      </c>
    </row>
    <row r="30" spans="2:3" x14ac:dyDescent="0.3">
      <c r="B30" s="422" t="s">
        <v>4727</v>
      </c>
      <c r="C30" s="423" t="str">
        <f>IF(COUNTIF('Environmental Disclosures'!E176:F176, "MISSING VALUE") &gt; 0, "MISSING VALUE", IF(COUNTIF('Environmental Disclosures'!E176:F176, "OK") &gt; 0, "OK", "-"))</f>
        <v>OK</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2" t="s">
        <v>4676</v>
      </c>
      <c r="C34" s="423" t="str">
        <f>IF(COUNTIF('Environmental Disclosures'!K216:K230, "MISSING VALUE") &gt; 0, "MISSING VALUE", IF(COUNTIF('Environmental Disclosures'!K216:K230, "OK") &gt; 0, "OK", "-"))</f>
        <v>OK</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2" t="s">
        <v>4684</v>
      </c>
      <c r="C37" s="423" t="str">
        <f>IF(COUNTIF('Social Disclosures'!H10, "MISSING VALUE") &gt; 0, "MISSING VALUE", IF(COUNTIF('Social Disclosures'!H10, "OK") &gt; 0, "OK", "-"))</f>
        <v>OK</v>
      </c>
    </row>
    <row r="38" spans="2:3" x14ac:dyDescent="0.3">
      <c r="B38" s="422" t="s">
        <v>4685</v>
      </c>
      <c r="C38" s="423" t="str">
        <f>IF(COUNTIF('Social Disclosures'!H18:H21, "MISSING VALUE") &gt; 0, "MISSING VALUE", IF(COUNTIF('Social Disclosures'!H18:H21, "OK") &gt; 0, "OK", "-"))</f>
        <v>OK</v>
      </c>
    </row>
    <row r="39" spans="2:3" x14ac:dyDescent="0.3">
      <c r="B39" s="422" t="s">
        <v>4687</v>
      </c>
      <c r="C39" s="423" t="str">
        <f>IF(COUNTIF('Social Disclosures'!I28:I37, "MISSING VALUE") &gt; 0, "MISSING VALUE", IF(COUNTIF('Social Disclosures'!I28:I37, "OK") &gt; 0, "OK", "-"))</f>
        <v>OK</v>
      </c>
    </row>
    <row r="40" spans="2:3" x14ac:dyDescent="0.3">
      <c r="B40" s="422" t="s">
        <v>4688</v>
      </c>
      <c r="C40" s="423" t="str">
        <f>IF(COUNTIF('Social Disclosures'!I43:I45, "MISSING VALUE") &gt; 0, "MISSING VALUE", IF(COUNTIF('Social Disclosures'!I43:I45, "OK") &gt; 0, "OK", "-"))</f>
        <v>OK</v>
      </c>
    </row>
    <row r="41" spans="2:3" x14ac:dyDescent="0.3">
      <c r="B41" s="422" t="s">
        <v>4686</v>
      </c>
      <c r="C41" s="423" t="str">
        <f>IF(COUNTIF('Social Disclosures'!I49:I53, "MISSING VALUE") &gt; 0, "MISSING VALUE", IF(COUNTIF('Social Disclosures'!I49:I53, "OK") &gt; 0, "OK", "-"))</f>
        <v>OK</v>
      </c>
    </row>
    <row r="42" spans="2:3" x14ac:dyDescent="0.3">
      <c r="B42" s="424" t="s">
        <v>4689</v>
      </c>
      <c r="C42" s="423" t="str">
        <f>IF(COUNTIF('Social Disclosures'!I66:I69, "MISSING VALUE") &gt; 0, "MISSING VALUE", IF(COUNTIF('Social Disclosures'!I66:I69, "OK") &gt; 0, "OK", "-"))</f>
        <v>OK</v>
      </c>
    </row>
    <row r="43" spans="2:3" x14ac:dyDescent="0.3">
      <c r="B43" s="429" t="s">
        <v>4634</v>
      </c>
      <c r="C43" s="421"/>
    </row>
    <row r="44" spans="2:3" x14ac:dyDescent="0.3">
      <c r="B44" s="424" t="s">
        <v>4694</v>
      </c>
      <c r="C44" s="423" t="str">
        <f>IF(COUNTIF('Governance Disclosures'!I6:I7, "MISSING VALUE") &gt; 0, "MISSING VALUE", IF(COUNTIF('Governance Disclosures'!I6:I7, "OK") &gt; 0, "OK", "-"))</f>
        <v>OK</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OK</v>
      </c>
    </row>
    <row r="48" spans="2:3" x14ac:dyDescent="0.3">
      <c r="B48" s="428" t="s">
        <v>4668</v>
      </c>
      <c r="C48" s="423" t="str">
        <f>IF(COUNTIF('General Information'!H148:H150, "MISSING VALUE") &gt; 0, "MISSING VALUE", IF(COUNTIF('General Information'!H148:H150, "OK") &gt; 0, "OK", "-"))</f>
        <v>OK</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OK</v>
      </c>
    </row>
    <row r="52" spans="2:3" x14ac:dyDescent="0.3">
      <c r="B52" s="422" t="s">
        <v>4679</v>
      </c>
      <c r="C52" s="423" t="str">
        <f>IF(COUNTIF('Environmental Disclosures'!L52, "MISSING VALUE") &gt; 0, "MISSING VALUE", IF(COUNTIF('Environmental Disclosures'!L52, "OK") &gt; 0, "OK", "-"))</f>
        <v>OK</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2" t="s">
        <v>4681</v>
      </c>
      <c r="C54" s="423" t="str">
        <f>IF(COUNTIF('Environmental Disclosures'!L236:L240, "MISSING VALUE") &gt; 0, "MISSING VALUE", IF(COUNTIF('Environmental Disclosures'!L236:L240, "OK") &gt; 0, "OK", "-"))</f>
        <v>OK</v>
      </c>
    </row>
    <row r="55" spans="2:3" x14ac:dyDescent="0.3">
      <c r="B55" s="429" t="s">
        <v>4633</v>
      </c>
      <c r="C55" s="421"/>
    </row>
    <row r="56" spans="2:3" x14ac:dyDescent="0.3">
      <c r="B56" s="422" t="s">
        <v>4690</v>
      </c>
      <c r="C56" s="423" t="str">
        <f>IF(COUNTIF('Social Disclosures'!I74:I78,"OK")&gt;0,"OK","-")</f>
        <v>OK</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OK</v>
      </c>
    </row>
    <row r="63" spans="2:3" x14ac:dyDescent="0.3">
      <c r="B63" s="434" t="s">
        <v>4698</v>
      </c>
      <c r="C63" s="432" t="str">
        <f>IF(COUNTIF('Governance Disclosures'!I31:I32, "MISSING VALUE") &gt; 0, "MISSING VALUE", IF(COUNTIF('Governance Disclosures'!I31:I32, "OK") &gt; 0, "OK", "-"))</f>
        <v>OK</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algorithmName="SHA-512" hashValue="8/kpc6fw/Si1yqk2mwE8JoerIWJ/rqq+62LEJvi2hfwU4bV5Hn6y2vL4IUjov9ERGIVcgx7shzoriU1aE1zqow==" saltValue="LFY77L7pBDs90jUUI5AyDA==" spinCount="100000"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opLeftCell="D138" zoomScale="64" zoomScaleNormal="100" workbookViewId="0">
      <selection activeCell="D139" sqref="D139"/>
    </sheetView>
  </sheetViews>
  <sheetFormatPr defaultRowHeight="14.4" outlineLevelRow="2" x14ac:dyDescent="0.3"/>
  <cols>
    <col min="1" max="2" width="10" bestFit="1" customWidth="1"/>
    <col min="3" max="3" width="56.777343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4745</v>
      </c>
      <c r="B1" s="310" t="s">
        <v>4746</v>
      </c>
    </row>
    <row r="2" spans="1:11" ht="14.4" customHeight="1" x14ac:dyDescent="0.3">
      <c r="A2" s="110"/>
      <c r="B2" s="110"/>
      <c r="C2" s="540" t="s">
        <v>4006</v>
      </c>
      <c r="D2" s="541"/>
      <c r="E2" s="542"/>
    </row>
    <row r="3" spans="1:11" ht="14.4" customHeight="1" x14ac:dyDescent="0.3">
      <c r="A3" s="110"/>
      <c r="B3" s="110"/>
      <c r="C3" s="147" t="s">
        <v>0</v>
      </c>
      <c r="D3" s="559" t="s">
        <v>4831</v>
      </c>
      <c r="E3" s="560"/>
      <c r="F3" s="11" t="str">
        <f>IF(D3="","MISSING VALUE","OK")</f>
        <v>OK</v>
      </c>
    </row>
    <row r="4" spans="1:11" ht="14.4" customHeight="1" x14ac:dyDescent="0.3">
      <c r="A4" s="110"/>
      <c r="B4" s="110"/>
      <c r="C4" s="147" t="s">
        <v>4658</v>
      </c>
      <c r="D4" s="312" t="s">
        <v>4654</v>
      </c>
      <c r="E4" s="72" t="s">
        <v>4832</v>
      </c>
      <c r="F4" s="11" t="str">
        <f>IF(OR(D4="", E4=""),"MISSING VALUE","OK")</f>
        <v>OK</v>
      </c>
    </row>
    <row r="5" spans="1:11" ht="14.4" customHeight="1" thickBot="1" x14ac:dyDescent="0.35">
      <c r="C5" s="281" t="s">
        <v>3636</v>
      </c>
      <c r="D5" s="561" t="s">
        <v>3868</v>
      </c>
      <c r="E5" s="562"/>
      <c r="F5" s="11" t="str">
        <f>IF(D5="","MISSING VALUE","OK")</f>
        <v>OK</v>
      </c>
      <c r="H5" s="54"/>
    </row>
    <row r="6" spans="1:11" ht="14.4" customHeight="1" x14ac:dyDescent="0.3">
      <c r="C6" s="280" t="s">
        <v>3783</v>
      </c>
      <c r="D6" s="563">
        <v>2024</v>
      </c>
      <c r="E6" s="564"/>
      <c r="F6" s="513" t="str">
        <f>IF(OR(D6="", D7="", D8=""),
    "MISSING VALUE",
    IF(OR(
        AND(D7="February", D8&gt;29),
        AND(D7="February", D8=29, NOT(AND(MOD(D6,4)=0, OR(MOD(D6,100)&lt;&gt;0, MOD(D6,400)=0)))),
        AND(OR(D7="April", D7="June", D7="September", D7="November"), D8=31)
    ),
        "ERROR",
        IF(F10="VALUE INCONSISTENCY", "VALUE INCONSISTENCY", "OK")
    )
)</f>
        <v>OK</v>
      </c>
    </row>
    <row r="7" spans="1:11" ht="14.4" customHeight="1" x14ac:dyDescent="0.3">
      <c r="C7" s="163" t="s">
        <v>3784</v>
      </c>
      <c r="D7" s="565" t="s">
        <v>3753</v>
      </c>
      <c r="E7" s="566"/>
      <c r="F7" s="513"/>
    </row>
    <row r="8" spans="1:11" ht="14.4" customHeight="1" x14ac:dyDescent="0.3">
      <c r="C8" s="163" t="s">
        <v>3785</v>
      </c>
      <c r="D8" s="567">
        <v>1</v>
      </c>
      <c r="E8" s="568"/>
      <c r="F8" s="513"/>
    </row>
    <row r="9" spans="1:11" ht="14.4" customHeight="1" thickBot="1" x14ac:dyDescent="0.35">
      <c r="C9" s="144" t="s">
        <v>3786</v>
      </c>
      <c r="D9" s="574" t="str">
        <f>IF(OR(ISBLANK(D6), ISBLANK(D7), ISBLANK(D8)), "-", TEXT(DATE(D6, MONTH(DATEVALUE("1 " &amp; D7)), D8), "dd/mm/yyyy"))</f>
        <v>01/01/2024</v>
      </c>
      <c r="E9" s="575"/>
      <c r="F9"/>
    </row>
    <row r="10" spans="1:11" ht="14.4" customHeight="1" x14ac:dyDescent="0.3">
      <c r="C10" s="280" t="s">
        <v>3787</v>
      </c>
      <c r="D10" s="563">
        <v>2024</v>
      </c>
      <c r="E10" s="564"/>
      <c r="F10" s="513"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OK</v>
      </c>
      <c r="K10" s="54"/>
    </row>
    <row r="11" spans="1:11" ht="14.4" customHeight="1" x14ac:dyDescent="0.3">
      <c r="C11" s="163" t="s">
        <v>3788</v>
      </c>
      <c r="D11" s="576" t="s">
        <v>3764</v>
      </c>
      <c r="E11" s="577"/>
      <c r="F11" s="513"/>
    </row>
    <row r="12" spans="1:11" ht="14.4" customHeight="1" x14ac:dyDescent="0.3">
      <c r="C12" s="163" t="s">
        <v>3789</v>
      </c>
      <c r="D12" s="578">
        <v>31</v>
      </c>
      <c r="E12" s="579"/>
      <c r="F12" s="513"/>
    </row>
    <row r="13" spans="1:11" ht="14.4" customHeight="1" thickBot="1" x14ac:dyDescent="0.35">
      <c r="A13" s="110"/>
      <c r="B13" s="110"/>
      <c r="C13" s="144" t="s">
        <v>3790</v>
      </c>
      <c r="D13" s="574" t="str">
        <f>IF(OR(ISBLANK(D10), ISBLANK(D11), ISBLANK(D12)), "-", TEXT(DATE(D10, MONTH(DATEVALUE("1 " &amp; D11)), D12), "dd/mm/yyyy"))</f>
        <v>31/12/2024</v>
      </c>
      <c r="E13" s="575"/>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45" t="s">
        <v>3641</v>
      </c>
      <c r="D16" s="546"/>
      <c r="E16" s="547"/>
    </row>
    <row r="17" spans="1:6" x14ac:dyDescent="0.3">
      <c r="A17" s="113"/>
      <c r="B17" s="110"/>
      <c r="C17" s="550">
        <v>16</v>
      </c>
      <c r="D17" s="551"/>
      <c r="E17" s="552"/>
      <c r="F17" s="282"/>
    </row>
    <row r="18" spans="1:6" ht="14.4" customHeight="1" x14ac:dyDescent="0.3">
      <c r="C18" s="509" t="s">
        <v>2</v>
      </c>
      <c r="D18" s="510"/>
      <c r="E18" s="73" t="b">
        <v>1</v>
      </c>
      <c r="F18" s="11" t="str">
        <f>IF(E18=FALSE,"","OK")</f>
        <v>OK</v>
      </c>
    </row>
    <row r="19" spans="1:6" ht="14.4" customHeight="1" x14ac:dyDescent="0.3">
      <c r="C19" s="553" t="s">
        <v>3</v>
      </c>
      <c r="D19" s="554"/>
      <c r="E19" s="74"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55"/>
      <c r="D20" s="556"/>
      <c r="E20" s="75" t="s">
        <v>2670</v>
      </c>
      <c r="F20" s="11" t="str">
        <f>IF($E$18=FALSE, "",
IF(E20="", "",
IF(COUNTIF($E$19:$E$28, E20) &gt; 1, "VALUE INCONSISTENCY", "OK")))</f>
        <v>OK</v>
      </c>
    </row>
    <row r="21" spans="1:6" ht="14.4" customHeight="1" outlineLevel="2" x14ac:dyDescent="0.3">
      <c r="C21" s="555"/>
      <c r="D21" s="556"/>
      <c r="E21" s="75"/>
      <c r="F21" s="11" t="str">
        <f t="shared" ref="F21:F28" si="0">IF($E$18=FALSE, "",
IF(E21="", "",
IF(COUNTIF($E$19:$E$28, E21) &gt; 1, "VALUE INCONSISTENCY", "OK")))</f>
        <v/>
      </c>
    </row>
    <row r="22" spans="1:6" ht="14.4" customHeight="1" outlineLevel="2" x14ac:dyDescent="0.3">
      <c r="C22" s="555"/>
      <c r="D22" s="556"/>
      <c r="E22" s="75"/>
      <c r="F22" s="11" t="str">
        <f t="shared" si="0"/>
        <v/>
      </c>
    </row>
    <row r="23" spans="1:6" ht="14.4" customHeight="1" outlineLevel="2" x14ac:dyDescent="0.3">
      <c r="C23" s="555"/>
      <c r="D23" s="556"/>
      <c r="E23" s="75"/>
      <c r="F23" s="11" t="str">
        <f t="shared" si="0"/>
        <v/>
      </c>
    </row>
    <row r="24" spans="1:6" ht="14.4" customHeight="1" outlineLevel="2" x14ac:dyDescent="0.3">
      <c r="C24" s="555"/>
      <c r="D24" s="556"/>
      <c r="E24" s="75"/>
      <c r="F24" s="11" t="str">
        <f t="shared" si="0"/>
        <v/>
      </c>
    </row>
    <row r="25" spans="1:6" ht="14.4" customHeight="1" outlineLevel="2" x14ac:dyDescent="0.3">
      <c r="C25" s="555"/>
      <c r="D25" s="556"/>
      <c r="E25" s="75"/>
      <c r="F25" s="11" t="str">
        <f t="shared" si="0"/>
        <v/>
      </c>
    </row>
    <row r="26" spans="1:6" ht="14.4" customHeight="1" outlineLevel="2" x14ac:dyDescent="0.3">
      <c r="C26" s="555"/>
      <c r="D26" s="556"/>
      <c r="E26" s="75"/>
      <c r="F26" s="11" t="str">
        <f t="shared" si="0"/>
        <v/>
      </c>
    </row>
    <row r="27" spans="1:6" ht="14.4" customHeight="1" outlineLevel="2" x14ac:dyDescent="0.3">
      <c r="C27" s="555"/>
      <c r="D27" s="556"/>
      <c r="E27" s="75"/>
      <c r="F27" s="11" t="str">
        <f t="shared" si="0"/>
        <v/>
      </c>
    </row>
    <row r="28" spans="1:6" ht="14.4" customHeight="1" outlineLevel="2" x14ac:dyDescent="0.3">
      <c r="C28" s="557"/>
      <c r="D28" s="558"/>
      <c r="E28" s="75"/>
      <c r="F28" s="11" t="str">
        <f t="shared" si="0"/>
        <v/>
      </c>
    </row>
    <row r="29" spans="1:6" ht="14.4" customHeight="1" thickBot="1" x14ac:dyDescent="0.35">
      <c r="A29" s="114"/>
      <c r="B29" s="114"/>
      <c r="C29" s="588" t="s">
        <v>3369</v>
      </c>
      <c r="D29" s="589"/>
      <c r="E29" s="257" t="s">
        <v>4833</v>
      </c>
      <c r="F29" s="11" t="str">
        <f>IF(AND(E18=FALSE,E29=""),"",IF(AND(E18=TRUE,E29=""),"MISSING VALUE",
IF(AND(E18=FALSE,E29&lt;&gt;""),"",
IF(AND(E18=TRUE,E29&lt;&gt;"",OR(LEFT(E29,7)="http://",LEFT(E29,8)="https://",LEFT(E29,4)="www.")),"OK",
IF(E18=TRUE,"INVALID URL","MISSING VALUE")))))</f>
        <v>OK</v>
      </c>
    </row>
    <row r="30" spans="1:6" ht="15" thickBot="1" x14ac:dyDescent="0.35">
      <c r="A30" s="115"/>
      <c r="B30" s="115"/>
    </row>
    <row r="31" spans="1:6" ht="17.7" customHeight="1" x14ac:dyDescent="0.3">
      <c r="C31" s="514" t="str">
        <f>"B1 - Basis for Preparation and other undertaking's general information " &amp; template_reporting_period_display &amp; " [Always to be reported]"</f>
        <v>B1 - Basis for Preparation and other undertaking's general information from 01/01/2024 to 31/12/2024 [Always to be reported]</v>
      </c>
      <c r="D31" s="515"/>
      <c r="E31" s="516"/>
      <c r="F31"/>
    </row>
    <row r="32" spans="1:6" ht="28.8" x14ac:dyDescent="0.3">
      <c r="A32" s="295" t="s">
        <v>4748</v>
      </c>
      <c r="B32" s="285" t="s">
        <v>1</v>
      </c>
      <c r="C32" s="548" t="s">
        <v>3774</v>
      </c>
      <c r="D32" s="549"/>
      <c r="E32" s="76" t="s">
        <v>4840</v>
      </c>
      <c r="F32" s="11" t="str">
        <f>IF(E32="","MISSING VALUE","OK")</f>
        <v>OK</v>
      </c>
    </row>
    <row r="33" spans="1:6" x14ac:dyDescent="0.3">
      <c r="A33" s="295" t="s">
        <v>4749</v>
      </c>
      <c r="B33" s="285" t="s">
        <v>1</v>
      </c>
      <c r="C33" s="517" t="s">
        <v>4</v>
      </c>
      <c r="D33" s="518"/>
      <c r="E33" s="76" t="s">
        <v>2677</v>
      </c>
      <c r="F33" s="11" t="str">
        <f>IF(E32="", "",
IF(AND(OR(E32="Option A (Basic Module only)", E32="Option B (Basic Module and Comprehensive Module)"), E33=""), "MISSING VALUE",
IF(COUNTIF(E33:E42, E33) &gt; 1, "VALUE INCONSISTENCY", "OK")))</f>
        <v>OK</v>
      </c>
    </row>
    <row r="34" spans="1:6" ht="14.4" customHeight="1" outlineLevel="2" x14ac:dyDescent="0.3">
      <c r="C34" s="517"/>
      <c r="D34" s="518"/>
      <c r="E34" s="77"/>
      <c r="F34" s="11" t="str">
        <f>IF(AND($E$33="None",E34&lt;&gt;""), "VALUE INCONSISTENCY",
IF(E34="", "",
IF(COUNTIF($E$33:$E$41, E34) &gt; 1,
   "VALUE INCONSISTENCY",
   "OK")))</f>
        <v/>
      </c>
    </row>
    <row r="35" spans="1:6" ht="14.4" customHeight="1" outlineLevel="2" x14ac:dyDescent="0.3">
      <c r="C35" s="517"/>
      <c r="D35" s="518"/>
      <c r="E35" s="77"/>
      <c r="F35" s="11" t="str">
        <f t="shared" ref="F35:F41" si="1">IF(AND($E$33="None",E35&lt;&gt;""), "VALUE INCONSISTENCY",
IF(E35="", "",
IF(COUNTIF($E$33:$E$41, E35) &gt; 1,
   "VALUE INCONSISTENCY",
   "OK")))</f>
        <v/>
      </c>
    </row>
    <row r="36" spans="1:6" ht="14.4" customHeight="1" outlineLevel="2" x14ac:dyDescent="0.3">
      <c r="C36" s="517"/>
      <c r="D36" s="518"/>
      <c r="E36" s="77"/>
      <c r="F36" s="11" t="str">
        <f t="shared" si="1"/>
        <v/>
      </c>
    </row>
    <row r="37" spans="1:6" ht="14.4" customHeight="1" outlineLevel="2" x14ac:dyDescent="0.3">
      <c r="C37" s="517"/>
      <c r="D37" s="518"/>
      <c r="E37" s="77"/>
      <c r="F37" s="11" t="str">
        <f t="shared" si="1"/>
        <v/>
      </c>
    </row>
    <row r="38" spans="1:6" ht="14.4" customHeight="1" outlineLevel="2" x14ac:dyDescent="0.3">
      <c r="C38" s="517"/>
      <c r="D38" s="518"/>
      <c r="E38" s="77"/>
      <c r="F38" s="11" t="str">
        <f t="shared" si="1"/>
        <v/>
      </c>
    </row>
    <row r="39" spans="1:6" ht="14.4" customHeight="1" outlineLevel="2" x14ac:dyDescent="0.3">
      <c r="C39" s="517"/>
      <c r="D39" s="518"/>
      <c r="E39" s="77"/>
      <c r="F39" s="11" t="str">
        <f t="shared" si="1"/>
        <v/>
      </c>
    </row>
    <row r="40" spans="1:6" ht="14.4" customHeight="1" outlineLevel="2" x14ac:dyDescent="0.3">
      <c r="C40" s="517"/>
      <c r="D40" s="518"/>
      <c r="E40" s="77"/>
      <c r="F40" s="11" t="str">
        <f t="shared" si="1"/>
        <v/>
      </c>
    </row>
    <row r="41" spans="1:6" ht="14.4" customHeight="1" outlineLevel="2" x14ac:dyDescent="0.3">
      <c r="C41" s="517"/>
      <c r="D41" s="518"/>
      <c r="E41" s="77"/>
      <c r="F41" s="11" t="str">
        <f t="shared" si="1"/>
        <v/>
      </c>
    </row>
    <row r="42" spans="1:6" ht="28.8" x14ac:dyDescent="0.3">
      <c r="A42" s="295" t="s">
        <v>4750</v>
      </c>
      <c r="B42" s="285" t="s">
        <v>1</v>
      </c>
      <c r="C42" s="548" t="s">
        <v>4003</v>
      </c>
      <c r="D42" s="549"/>
      <c r="E42" s="76" t="s">
        <v>4735</v>
      </c>
      <c r="F42" s="11" t="str">
        <f>IF(AND(OR(E32="Option A (Basic Module only)", E32="Option B (Basic Module and Comprehensive Module)"),E42=""),"MISSING VALUE",IF(E32="","","OK"))</f>
        <v>OK</v>
      </c>
    </row>
    <row r="43" spans="1:6" x14ac:dyDescent="0.3">
      <c r="A43" s="569" t="s">
        <v>4750</v>
      </c>
      <c r="B43" s="571">
        <v>68</v>
      </c>
      <c r="C43" s="548" t="s">
        <v>5</v>
      </c>
      <c r="D43" s="549"/>
      <c r="E43" s="76" t="s">
        <v>2772</v>
      </c>
      <c r="F43" s="11" t="str">
        <f>IF(AND(OR(E32="Option A (Basic Module only)", E32="Option B (Basic Module and Comprehensive Module)"),E43=""),"MISSING VALUE",IF(E32="","","OK"))</f>
        <v>OK</v>
      </c>
    </row>
    <row r="44" spans="1:6" x14ac:dyDescent="0.3">
      <c r="A44" s="570"/>
      <c r="B44" s="571"/>
      <c r="C44" s="572" t="s">
        <v>3777</v>
      </c>
      <c r="D44" s="573"/>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80" t="s">
        <v>4751</v>
      </c>
      <c r="B45" s="582" t="s">
        <v>4752</v>
      </c>
      <c r="C45" s="548" t="s">
        <v>2779</v>
      </c>
      <c r="D45" s="549"/>
      <c r="E45" s="76" t="s">
        <v>4737</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81"/>
      <c r="B46" s="583"/>
      <c r="C46" s="548"/>
      <c r="D46" s="549"/>
      <c r="E46" s="79" t="s">
        <v>4736</v>
      </c>
      <c r="F46" s="11" t="str">
        <f t="shared" ref="F46:F59" si="2">IF(COUNTIF(enum_ListNACECategories, E46)&gt;0, "ERROR",
IF(E46="", "",
IF(COUNTIF(E45:E59, E46)&gt;1, "VALUE INCONSISTENCY", "OK")))</f>
        <v>OK</v>
      </c>
    </row>
    <row r="47" spans="1:6" ht="14.4" customHeight="1" outlineLevel="1" x14ac:dyDescent="0.3">
      <c r="A47" s="581"/>
      <c r="B47" s="583"/>
      <c r="C47" s="548"/>
      <c r="D47" s="549"/>
      <c r="E47" s="79"/>
      <c r="F47" s="11" t="str">
        <f t="shared" si="2"/>
        <v/>
      </c>
    </row>
    <row r="48" spans="1:6" ht="14.4" customHeight="1" outlineLevel="1" x14ac:dyDescent="0.3">
      <c r="A48" s="581"/>
      <c r="B48" s="583"/>
      <c r="C48" s="548"/>
      <c r="D48" s="549"/>
      <c r="E48" s="79"/>
      <c r="F48" s="11" t="str">
        <f t="shared" si="2"/>
        <v/>
      </c>
    </row>
    <row r="49" spans="1:6" ht="14.4" customHeight="1" outlineLevel="1" x14ac:dyDescent="0.3">
      <c r="A49" s="581"/>
      <c r="B49" s="583"/>
      <c r="C49" s="548"/>
      <c r="D49" s="549"/>
      <c r="E49" s="79"/>
      <c r="F49" s="11" t="str">
        <f t="shared" si="2"/>
        <v/>
      </c>
    </row>
    <row r="50" spans="1:6" ht="14.4" customHeight="1" outlineLevel="1" x14ac:dyDescent="0.3">
      <c r="A50" s="581"/>
      <c r="B50" s="583"/>
      <c r="C50" s="548"/>
      <c r="D50" s="549"/>
      <c r="E50" s="79"/>
      <c r="F50" s="11" t="str">
        <f t="shared" si="2"/>
        <v/>
      </c>
    </row>
    <row r="51" spans="1:6" ht="14.4" customHeight="1" outlineLevel="1" x14ac:dyDescent="0.3">
      <c r="A51" s="581"/>
      <c r="B51" s="583"/>
      <c r="C51" s="548"/>
      <c r="D51" s="549"/>
      <c r="E51" s="79"/>
      <c r="F51" s="11" t="str">
        <f t="shared" si="2"/>
        <v/>
      </c>
    </row>
    <row r="52" spans="1:6" ht="14.4" customHeight="1" outlineLevel="1" x14ac:dyDescent="0.3">
      <c r="A52" s="581"/>
      <c r="B52" s="583"/>
      <c r="C52" s="548"/>
      <c r="D52" s="549"/>
      <c r="E52" s="79"/>
      <c r="F52" s="11" t="str">
        <f t="shared" si="2"/>
        <v/>
      </c>
    </row>
    <row r="53" spans="1:6" ht="14.4" customHeight="1" outlineLevel="1" x14ac:dyDescent="0.3">
      <c r="A53" s="581"/>
      <c r="B53" s="583"/>
      <c r="C53" s="548"/>
      <c r="D53" s="549"/>
      <c r="E53" s="79"/>
      <c r="F53" s="11" t="str">
        <f t="shared" si="2"/>
        <v/>
      </c>
    </row>
    <row r="54" spans="1:6" ht="14.4" customHeight="1" outlineLevel="1" x14ac:dyDescent="0.3">
      <c r="A54" s="581"/>
      <c r="B54" s="583"/>
      <c r="C54" s="548"/>
      <c r="D54" s="549"/>
      <c r="E54" s="79"/>
      <c r="F54" s="11" t="str">
        <f t="shared" si="2"/>
        <v/>
      </c>
    </row>
    <row r="55" spans="1:6" ht="14.4" customHeight="1" outlineLevel="1" x14ac:dyDescent="0.3">
      <c r="A55" s="581"/>
      <c r="B55" s="583"/>
      <c r="C55" s="548"/>
      <c r="D55" s="549"/>
      <c r="E55" s="79"/>
      <c r="F55" s="11" t="str">
        <f t="shared" si="2"/>
        <v/>
      </c>
    </row>
    <row r="56" spans="1:6" ht="14.4" customHeight="1" outlineLevel="1" x14ac:dyDescent="0.3">
      <c r="A56" s="581"/>
      <c r="B56" s="583"/>
      <c r="C56" s="548"/>
      <c r="D56" s="549"/>
      <c r="E56" s="79"/>
      <c r="F56" s="11" t="str">
        <f t="shared" si="2"/>
        <v/>
      </c>
    </row>
    <row r="57" spans="1:6" ht="14.4" customHeight="1" outlineLevel="1" x14ac:dyDescent="0.3">
      <c r="A57" s="581"/>
      <c r="B57" s="583"/>
      <c r="C57" s="548"/>
      <c r="D57" s="549"/>
      <c r="E57" s="79"/>
      <c r="F57" s="11" t="str">
        <f t="shared" si="2"/>
        <v/>
      </c>
    </row>
    <row r="58" spans="1:6" ht="14.4" customHeight="1" outlineLevel="1" x14ac:dyDescent="0.3">
      <c r="A58" s="581"/>
      <c r="B58" s="583"/>
      <c r="C58" s="548"/>
      <c r="D58" s="549"/>
      <c r="E58" s="79"/>
      <c r="F58" s="11" t="str">
        <f t="shared" si="2"/>
        <v/>
      </c>
    </row>
    <row r="59" spans="1:6" ht="14.4" customHeight="1" outlineLevel="1" x14ac:dyDescent="0.3">
      <c r="A59" s="581"/>
      <c r="B59" s="583"/>
      <c r="C59" s="548"/>
      <c r="D59" s="549"/>
      <c r="E59" s="79"/>
      <c r="F59" s="11" t="str">
        <f t="shared" si="2"/>
        <v/>
      </c>
    </row>
    <row r="60" spans="1:6" ht="14.4" customHeight="1" x14ac:dyDescent="0.3">
      <c r="A60" s="295" t="s">
        <v>4753</v>
      </c>
      <c r="B60" s="285" t="s">
        <v>1</v>
      </c>
      <c r="C60" s="548" t="str">
        <f>"Size of balance sheet in " &amp; template_currency</f>
        <v xml:space="preserve">Size of balance sheet in EUR  </v>
      </c>
      <c r="D60" s="549"/>
      <c r="E60" s="80">
        <v>600000</v>
      </c>
      <c r="F60" s="11" t="str">
        <f>IF(AND(OR(E32="Option A (Basic Module only)", E32="Option B (Basic Module and Comprehensive Module)"),E60=""),"MISSING VALUE",IF(E32="","","OK"))</f>
        <v>OK</v>
      </c>
    </row>
    <row r="61" spans="1:6" ht="14.4" customHeight="1" x14ac:dyDescent="0.3">
      <c r="A61" s="295" t="s">
        <v>4754</v>
      </c>
      <c r="B61" s="285" t="s">
        <v>1</v>
      </c>
      <c r="C61" s="548" t="str">
        <f>"Turnover in " &amp;  template_currency</f>
        <v xml:space="preserve">Turnover in EUR  </v>
      </c>
      <c r="D61" s="549"/>
      <c r="E61" s="80">
        <v>235000</v>
      </c>
      <c r="F61" s="11" t="str">
        <f>IF(AND(OR(E32="Option A (Basic Module only)", E32="Option B (Basic Module and Comprehensive Module)"),E61=""),"MISSING VALUE",IF(E32="","","OK"))</f>
        <v>OK</v>
      </c>
    </row>
    <row r="62" spans="1:6" ht="14.4" customHeight="1" x14ac:dyDescent="0.3">
      <c r="A62" s="295" t="s">
        <v>4731</v>
      </c>
      <c r="B62" s="297" t="s">
        <v>4730</v>
      </c>
      <c r="C62" s="548" t="s">
        <v>6</v>
      </c>
      <c r="D62" s="549"/>
      <c r="E62" s="81">
        <v>151</v>
      </c>
      <c r="F62" s="11" t="str">
        <f>IF(AND(OR(E32="Option A (Basic Module only)", E32="Option B (Basic Module and Comprehensive Module)"),E62=""),"MISSING VALUE",IF(E32="","","OK"))</f>
        <v>OK</v>
      </c>
    </row>
    <row r="63" spans="1:6" ht="14.4" customHeight="1" x14ac:dyDescent="0.3">
      <c r="A63" s="295" t="s">
        <v>4731</v>
      </c>
      <c r="B63" s="297" t="s">
        <v>4755</v>
      </c>
      <c r="C63" s="511" t="s">
        <v>4011</v>
      </c>
      <c r="D63" s="512"/>
      <c r="E63" s="81" t="s">
        <v>4015</v>
      </c>
      <c r="F63" s="11" t="str">
        <f>IF(AND(OR(E32="Option A (Basic Module only)", E32="Option B (Basic Module and Comprehensive Module)"),E63=""),"MISSING VALUE",IF(E32="","","OK"))</f>
        <v>OK</v>
      </c>
    </row>
    <row r="64" spans="1:6" ht="14.4" customHeight="1" x14ac:dyDescent="0.3">
      <c r="A64" s="295" t="s">
        <v>4731</v>
      </c>
      <c r="B64" s="297" t="s">
        <v>4755</v>
      </c>
      <c r="C64" s="548" t="s">
        <v>4012</v>
      </c>
      <c r="D64" s="549"/>
      <c r="E64" s="77" t="s">
        <v>4738</v>
      </c>
      <c r="F64" s="11" t="str">
        <f>IF(AND(OR(E32="Option A (Basic Module only)", E32="Option B (Basic Module and Comprehensive Module)"),E64=""),"MISSING VALUE",IF(E32="","","OK"))</f>
        <v>OK</v>
      </c>
    </row>
    <row r="65" spans="1:6" ht="14.4" customHeight="1" thickBot="1" x14ac:dyDescent="0.35">
      <c r="A65" s="295" t="s">
        <v>4757</v>
      </c>
      <c r="B65" s="297" t="s">
        <v>4756</v>
      </c>
      <c r="C65" s="584" t="s">
        <v>7</v>
      </c>
      <c r="D65" s="585"/>
      <c r="E65" s="82" t="s">
        <v>506</v>
      </c>
      <c r="F65" s="11" t="str">
        <f>IF(AND(OR(E32="Option A (Basic Module only)", E32="Option B (Basic Module and Comprehensive Module)"),E65=""),"MISSING VALUE",IF(E32="","","OK"))</f>
        <v>OK</v>
      </c>
    </row>
    <row r="66" spans="1:6" ht="15" thickBot="1" x14ac:dyDescent="0.35">
      <c r="A66" s="283"/>
      <c r="B66" s="110"/>
    </row>
    <row r="67" spans="1:6" ht="14.4" customHeight="1" x14ac:dyDescent="0.3">
      <c r="A67" s="110"/>
      <c r="B67" s="110"/>
      <c r="C67" s="514" t="str">
        <f xml:space="preserve"> "B1 - List of subsidiaries " &amp; template_reporting_period_display &amp; " [If applicable]"</f>
        <v>B1 - List of subsidiaries from 01/01/2024 to 31/12/2024 [If applicable]</v>
      </c>
      <c r="D67" s="515"/>
      <c r="E67" s="516"/>
    </row>
    <row r="68" spans="1:6" ht="14.4" customHeight="1" x14ac:dyDescent="0.3">
      <c r="A68" s="110"/>
      <c r="B68" s="110"/>
      <c r="C68" s="529" t="s">
        <v>4758</v>
      </c>
      <c r="D68" s="530"/>
      <c r="E68" s="531"/>
      <c r="F68" s="116"/>
    </row>
    <row r="69" spans="1:6" ht="14.4" customHeight="1" x14ac:dyDescent="0.3">
      <c r="A69" s="110"/>
      <c r="B69" s="110"/>
      <c r="C69" s="4" t="s">
        <v>8</v>
      </c>
      <c r="D69" s="1" t="s">
        <v>9</v>
      </c>
      <c r="E69" s="117" t="s">
        <v>3742</v>
      </c>
    </row>
    <row r="70" spans="1:6" ht="14.4" customHeight="1" thickBot="1" x14ac:dyDescent="0.35">
      <c r="A70" s="110"/>
      <c r="B70" s="110"/>
      <c r="C70" s="5">
        <v>1</v>
      </c>
      <c r="D70" s="83" t="s">
        <v>4834</v>
      </c>
      <c r="E70" s="84" t="s">
        <v>4835</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10"/>
      <c r="B71" s="110"/>
      <c r="C71" s="16">
        <v>2</v>
      </c>
      <c r="D71" s="85"/>
      <c r="E71" s="86"/>
      <c r="F71" s="108" t="str">
        <f t="shared" ref="F71:F94" si="3">IF(AND(D71&lt;&gt;"",E71=""),"MISSING VALUE", IF(AND(D71&lt;&gt;"",E71&lt;&gt;""),"OK", IF(AND(D71="",E71=""),"", "MISSING VALUE")))</f>
        <v/>
      </c>
    </row>
    <row r="72" spans="1:6" ht="14.4" hidden="1" customHeight="1" outlineLevel="1" x14ac:dyDescent="0.3">
      <c r="C72" s="4">
        <v>3</v>
      </c>
      <c r="D72" s="87"/>
      <c r="E72" s="88"/>
      <c r="F72" s="108" t="str">
        <f t="shared" si="3"/>
        <v/>
      </c>
    </row>
    <row r="73" spans="1:6" ht="14.4" hidden="1" customHeight="1" outlineLevel="1" x14ac:dyDescent="0.3">
      <c r="C73" s="4">
        <v>4</v>
      </c>
      <c r="D73" s="87"/>
      <c r="E73" s="88"/>
      <c r="F73" s="108" t="str">
        <f t="shared" si="3"/>
        <v/>
      </c>
    </row>
    <row r="74" spans="1:6" ht="14.4" hidden="1" customHeight="1" outlineLevel="1" x14ac:dyDescent="0.3">
      <c r="C74" s="13">
        <v>5</v>
      </c>
      <c r="D74" s="87"/>
      <c r="E74" s="88"/>
      <c r="F74" s="108" t="str">
        <f t="shared" si="3"/>
        <v/>
      </c>
    </row>
    <row r="75" spans="1:6" ht="14.4" hidden="1" customHeight="1" outlineLevel="1" x14ac:dyDescent="0.3">
      <c r="C75" s="4">
        <v>6</v>
      </c>
      <c r="D75" s="87"/>
      <c r="E75" s="88"/>
      <c r="F75" s="108" t="str">
        <f t="shared" si="3"/>
        <v/>
      </c>
    </row>
    <row r="76" spans="1:6" ht="14.4" hidden="1" customHeight="1" outlineLevel="1" x14ac:dyDescent="0.3">
      <c r="C76" s="4">
        <v>7</v>
      </c>
      <c r="D76" s="87"/>
      <c r="E76" s="88"/>
      <c r="F76" s="108" t="str">
        <f t="shared" si="3"/>
        <v/>
      </c>
    </row>
    <row r="77" spans="1:6" ht="14.4" hidden="1" customHeight="1" outlineLevel="1" x14ac:dyDescent="0.3">
      <c r="C77" s="13">
        <v>8</v>
      </c>
      <c r="D77" s="87"/>
      <c r="E77" s="88"/>
      <c r="F77" s="108" t="str">
        <f t="shared" si="3"/>
        <v/>
      </c>
    </row>
    <row r="78" spans="1:6" ht="14.4" hidden="1" customHeight="1" outlineLevel="1" x14ac:dyDescent="0.3">
      <c r="C78" s="4">
        <v>9</v>
      </c>
      <c r="D78" s="87"/>
      <c r="E78" s="88"/>
      <c r="F78" s="108" t="str">
        <f t="shared" si="3"/>
        <v/>
      </c>
    </row>
    <row r="79" spans="1:6" ht="14.4" hidden="1" customHeight="1" outlineLevel="1" x14ac:dyDescent="0.3">
      <c r="C79" s="4">
        <v>10</v>
      </c>
      <c r="D79" s="87"/>
      <c r="E79" s="88"/>
      <c r="F79" s="108" t="str">
        <f t="shared" si="3"/>
        <v/>
      </c>
    </row>
    <row r="80" spans="1:6" ht="14.4" hidden="1" customHeight="1" outlineLevel="1" x14ac:dyDescent="0.3">
      <c r="C80" s="13">
        <v>11</v>
      </c>
      <c r="D80" s="87"/>
      <c r="E80" s="88"/>
      <c r="F80" s="108" t="str">
        <f t="shared" si="3"/>
        <v/>
      </c>
    </row>
    <row r="81" spans="3:8" ht="14.4" hidden="1" customHeight="1" outlineLevel="1" x14ac:dyDescent="0.3">
      <c r="C81" s="4">
        <v>12</v>
      </c>
      <c r="D81" s="87"/>
      <c r="E81" s="88"/>
      <c r="F81" s="108" t="str">
        <f t="shared" si="3"/>
        <v/>
      </c>
    </row>
    <row r="82" spans="3:8" ht="14.4" hidden="1" customHeight="1" outlineLevel="1" x14ac:dyDescent="0.3">
      <c r="C82" s="4">
        <v>13</v>
      </c>
      <c r="D82" s="87"/>
      <c r="E82" s="88"/>
      <c r="F82" s="108" t="str">
        <f t="shared" si="3"/>
        <v/>
      </c>
    </row>
    <row r="83" spans="3:8" ht="14.4" hidden="1" customHeight="1" outlineLevel="1" x14ac:dyDescent="0.3">
      <c r="C83" s="13">
        <v>14</v>
      </c>
      <c r="D83" s="87"/>
      <c r="E83" s="88"/>
      <c r="F83" s="108" t="str">
        <f t="shared" si="3"/>
        <v/>
      </c>
    </row>
    <row r="84" spans="3:8" ht="14.4" hidden="1" customHeight="1" outlineLevel="1" x14ac:dyDescent="0.3">
      <c r="C84" s="4">
        <v>15</v>
      </c>
      <c r="D84" s="87"/>
      <c r="E84" s="88"/>
      <c r="F84" s="108" t="str">
        <f t="shared" si="3"/>
        <v/>
      </c>
    </row>
    <row r="85" spans="3:8" ht="14.4" hidden="1" customHeight="1" outlineLevel="1" x14ac:dyDescent="0.3">
      <c r="C85" s="4">
        <v>16</v>
      </c>
      <c r="D85" s="87"/>
      <c r="E85" s="88"/>
      <c r="F85" s="108" t="str">
        <f t="shared" si="3"/>
        <v/>
      </c>
    </row>
    <row r="86" spans="3:8" ht="14.4" hidden="1" customHeight="1" outlineLevel="1" x14ac:dyDescent="0.3">
      <c r="C86" s="13">
        <v>17</v>
      </c>
      <c r="D86" s="87"/>
      <c r="E86" s="88"/>
      <c r="F86" s="108" t="str">
        <f t="shared" si="3"/>
        <v/>
      </c>
    </row>
    <row r="87" spans="3:8" ht="14.4" hidden="1" customHeight="1" outlineLevel="1" x14ac:dyDescent="0.3">
      <c r="C87" s="4">
        <v>18</v>
      </c>
      <c r="D87" s="87"/>
      <c r="E87" s="88"/>
      <c r="F87" s="108" t="str">
        <f t="shared" si="3"/>
        <v/>
      </c>
    </row>
    <row r="88" spans="3:8" ht="14.4" hidden="1" customHeight="1" outlineLevel="1" x14ac:dyDescent="0.3">
      <c r="C88" s="4">
        <v>19</v>
      </c>
      <c r="D88" s="87"/>
      <c r="E88" s="88"/>
      <c r="F88" s="108" t="str">
        <f t="shared" si="3"/>
        <v/>
      </c>
    </row>
    <row r="89" spans="3:8" ht="14.4" hidden="1" customHeight="1" outlineLevel="1" x14ac:dyDescent="0.3">
      <c r="C89" s="13">
        <v>20</v>
      </c>
      <c r="D89" s="87"/>
      <c r="E89" s="88"/>
      <c r="F89" s="108" t="str">
        <f t="shared" si="3"/>
        <v/>
      </c>
    </row>
    <row r="90" spans="3:8" ht="14.4" hidden="1" customHeight="1" outlineLevel="1" x14ac:dyDescent="0.3">
      <c r="C90" s="4">
        <v>21</v>
      </c>
      <c r="D90" s="87"/>
      <c r="E90" s="88"/>
      <c r="F90" s="108" t="str">
        <f t="shared" si="3"/>
        <v/>
      </c>
    </row>
    <row r="91" spans="3:8" ht="14.4" hidden="1" customHeight="1" outlineLevel="1" x14ac:dyDescent="0.3">
      <c r="C91" s="4">
        <v>22</v>
      </c>
      <c r="D91" s="87"/>
      <c r="E91" s="88"/>
      <c r="F91" s="108" t="str">
        <f t="shared" si="3"/>
        <v/>
      </c>
    </row>
    <row r="92" spans="3:8" ht="14.4" hidden="1" customHeight="1" outlineLevel="1" x14ac:dyDescent="0.3">
      <c r="C92" s="13">
        <v>23</v>
      </c>
      <c r="D92" s="87"/>
      <c r="E92" s="88"/>
      <c r="F92" s="108" t="str">
        <f t="shared" si="3"/>
        <v/>
      </c>
    </row>
    <row r="93" spans="3:8" ht="14.4" hidden="1" customHeight="1" outlineLevel="1" x14ac:dyDescent="0.3">
      <c r="C93" s="4">
        <v>24</v>
      </c>
      <c r="D93" s="87"/>
      <c r="E93" s="88"/>
      <c r="F93" s="108" t="str">
        <f t="shared" si="3"/>
        <v/>
      </c>
    </row>
    <row r="94" spans="3:8" ht="14.4" hidden="1" customHeight="1" outlineLevel="1" thickBot="1" x14ac:dyDescent="0.35">
      <c r="C94" s="5">
        <v>25</v>
      </c>
      <c r="D94" s="89"/>
      <c r="E94" s="84"/>
      <c r="F94" s="108" t="str">
        <f t="shared" si="3"/>
        <v/>
      </c>
    </row>
    <row r="95" spans="3:8" ht="15" collapsed="1" thickBot="1" x14ac:dyDescent="0.35"/>
    <row r="96" spans="3:8" ht="14.4" customHeight="1" x14ac:dyDescent="0.3">
      <c r="C96" s="534" t="str">
        <f xml:space="preserve"> "B1 - Disclosure of sustainability-related certification(s) or label(s) " &amp; template_reporting_period_display &amp; " [If applicable]"</f>
        <v>B1 - Disclosure of sustainability-related certification(s) or label(s) from 01/01/2024 to 31/12/2024 [If applicable]</v>
      </c>
      <c r="D96" s="535"/>
      <c r="E96" s="535"/>
      <c r="F96" s="535"/>
      <c r="G96" s="535"/>
      <c r="H96" s="536"/>
    </row>
    <row r="97" spans="3:13" ht="14.4" customHeight="1" x14ac:dyDescent="0.3">
      <c r="C97" s="529">
        <v>25</v>
      </c>
      <c r="D97" s="530"/>
      <c r="E97" s="530"/>
      <c r="F97" s="530"/>
      <c r="G97" s="530"/>
      <c r="H97" s="531"/>
    </row>
    <row r="98" spans="3:13" ht="14.4" customHeight="1" x14ac:dyDescent="0.3">
      <c r="C98" s="537">
        <v>77</v>
      </c>
      <c r="D98" s="538"/>
      <c r="E98" s="538"/>
      <c r="F98" s="538"/>
      <c r="G98" s="538"/>
      <c r="H98" s="539"/>
    </row>
    <row r="99" spans="3:13" ht="14.4" customHeight="1" x14ac:dyDescent="0.3">
      <c r="C99" s="521" t="s">
        <v>4002</v>
      </c>
      <c r="D99" s="522"/>
      <c r="E99" s="523" t="b">
        <v>1</v>
      </c>
      <c r="F99" s="524"/>
      <c r="G99" s="524"/>
      <c r="H99" s="525"/>
    </row>
    <row r="100" spans="3:13" ht="30" customHeight="1" thickBot="1" x14ac:dyDescent="0.35">
      <c r="C100" s="543" t="s">
        <v>10</v>
      </c>
      <c r="D100" s="544"/>
      <c r="E100" s="610" t="s">
        <v>4836</v>
      </c>
      <c r="F100" s="611"/>
      <c r="G100" s="611"/>
      <c r="H100" s="612"/>
      <c r="I100" s="17" t="str">
        <f>IF(AND(E99=TRUE,E100=""), "MISSING VALUE",IF(AND(E99=TRUE,E100&lt;&gt;""), "OK",""))</f>
        <v>OK</v>
      </c>
    </row>
    <row r="101" spans="3:13" ht="15" thickBot="1" x14ac:dyDescent="0.35"/>
    <row r="102" spans="3:13" x14ac:dyDescent="0.3">
      <c r="C102" s="514" t="str">
        <f xml:space="preserve"> "B1 - List of site(s) " &amp; template_reporting_period_display &amp; " [Always to be reported]"</f>
        <v>B1 - List of site(s) from 01/01/2024 to 31/12/2024 [Always to be reported]</v>
      </c>
      <c r="D102" s="515"/>
      <c r="E102" s="515"/>
      <c r="F102" s="515"/>
      <c r="G102" s="515"/>
      <c r="H102" s="516"/>
    </row>
    <row r="103" spans="3:13" x14ac:dyDescent="0.3">
      <c r="C103" s="529" t="s">
        <v>4759</v>
      </c>
      <c r="D103" s="530"/>
      <c r="E103" s="530"/>
      <c r="F103" s="530"/>
      <c r="G103" s="530"/>
      <c r="H103" s="531"/>
    </row>
    <row r="104" spans="3:13" x14ac:dyDescent="0.3">
      <c r="C104" s="526" t="s">
        <v>4756</v>
      </c>
      <c r="D104" s="527"/>
      <c r="E104" s="527"/>
      <c r="F104" s="527"/>
      <c r="G104" s="527"/>
      <c r="H104" s="528"/>
    </row>
    <row r="105" spans="3:13" x14ac:dyDescent="0.3">
      <c r="C105" s="621" t="s">
        <v>8</v>
      </c>
      <c r="D105" s="624" t="s">
        <v>11</v>
      </c>
      <c r="E105" s="624" t="s">
        <v>12</v>
      </c>
      <c r="F105" s="617" t="s">
        <v>13</v>
      </c>
      <c r="G105" s="624" t="s">
        <v>14</v>
      </c>
      <c r="H105" s="244" t="s">
        <v>3640</v>
      </c>
      <c r="I105" s="118"/>
    </row>
    <row r="106" spans="3:13" ht="141.6" customHeight="1" x14ac:dyDescent="0.3">
      <c r="C106" s="622"/>
      <c r="D106" s="625"/>
      <c r="E106" s="625"/>
      <c r="F106" s="627"/>
      <c r="G106" s="625"/>
      <c r="H106" s="245" t="s">
        <v>4535</v>
      </c>
      <c r="I106" s="118"/>
      <c r="J106" s="2"/>
    </row>
    <row r="107" spans="3:13" x14ac:dyDescent="0.3">
      <c r="C107" s="623"/>
      <c r="D107" s="626"/>
      <c r="E107" s="626"/>
      <c r="F107" s="618"/>
      <c r="G107" s="626"/>
      <c r="H107" s="442" t="b">
        <v>1</v>
      </c>
      <c r="I107" s="118"/>
    </row>
    <row r="108" spans="3:13" x14ac:dyDescent="0.3">
      <c r="C108" s="4">
        <v>1</v>
      </c>
      <c r="D108" s="90" t="s">
        <v>4837</v>
      </c>
      <c r="E108" s="91" t="s">
        <v>4838</v>
      </c>
      <c r="F108" s="92" t="s">
        <v>4739</v>
      </c>
      <c r="G108" s="90" t="s">
        <v>506</v>
      </c>
      <c r="H108" s="235" t="str">
        <f>IF(COUNTA(D108:G108)=COLUMNS(D108:G108), IFERROR('Technical Sheet'!G2, "-"), "-")</f>
        <v>45.4634273,9.1919874</v>
      </c>
      <c r="I108" s="18" t="str">
        <f>IF(OR(E32="Option A (Basic Module only)", E32="Option B (Basic Module and Comprehensive Module)"),
    IF(AND(D108&lt;&gt;"", E108&lt;&gt;"", F108&lt;&gt;"", G108&lt;&gt;"", H108&lt;&gt;""),
        "OK",
        "MISSING VALUE"
    ),
    ""
)</f>
        <v>OK</v>
      </c>
      <c r="J108" s="243" t="str">
        <f>IF(AND(D108&lt;&gt;"", E108&lt;&gt;"", F108&lt;&gt;"", G108&lt;&gt;""),
    IFERROR(HYPERLINK("https://www.openstreetmap.org/search?lat=" &amp; 'Technical Sheet'!E2 &amp; "&amp;lon=" &amp; 'Technical Sheet'!F2, "OpenStreetMap Link"),
    ""),
"")</f>
        <v>OpenStreetMap Link</v>
      </c>
      <c r="K108" s="119" t="str">
        <f t="shared" ref="K108:K132" si="4">LOWER(SUBSTITUTE(D108," ","+" )) &amp; "+" &amp; LOWER(SUBSTITUTE(E108," ","+" )) &amp; "+" &amp; LOWER(SUBSTITUTE(F108," ","+" )) &amp; "+" &amp; LOWER(SUBSTITUTE(G108," ","+" )) &amp; "+"</f>
        <v>duomo+square+20122+milan+italy+</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thickBot="1" x14ac:dyDescent="0.35"/>
    <row r="134" spans="3:17" ht="38.1" customHeight="1" x14ac:dyDescent="0.3">
      <c r="C134" s="613"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01/01/2024 to 31/12/2024 [If applicable]</v>
      </c>
      <c r="D134" s="614"/>
      <c r="E134" s="614"/>
      <c r="F134" s="614"/>
      <c r="G134" s="614"/>
      <c r="H134" s="614"/>
      <c r="I134" s="614"/>
      <c r="J134" s="614"/>
      <c r="K134" s="614"/>
      <c r="L134" s="614"/>
      <c r="M134" s="614"/>
      <c r="N134" s="614"/>
      <c r="O134" s="615"/>
    </row>
    <row r="135" spans="3:17" s="10" customFormat="1" x14ac:dyDescent="0.3">
      <c r="C135" s="529" t="s">
        <v>4760</v>
      </c>
      <c r="D135" s="530"/>
      <c r="E135" s="530"/>
      <c r="F135" s="530"/>
      <c r="G135" s="530"/>
      <c r="H135" s="530"/>
      <c r="I135" s="530"/>
      <c r="J135" s="530"/>
      <c r="K135" s="530"/>
      <c r="L135" s="530"/>
      <c r="M135" s="530"/>
      <c r="N135" s="530"/>
      <c r="O135" s="531"/>
      <c r="P135"/>
      <c r="Q135"/>
    </row>
    <row r="136" spans="3:17" x14ac:dyDescent="0.3">
      <c r="C136" s="526" t="s">
        <v>4761</v>
      </c>
      <c r="D136" s="527"/>
      <c r="E136" s="527"/>
      <c r="F136" s="527"/>
      <c r="G136" s="527"/>
      <c r="H136" s="527"/>
      <c r="I136" s="527"/>
      <c r="J136" s="527"/>
      <c r="K136" s="527"/>
      <c r="L136" s="527"/>
      <c r="M136" s="527"/>
      <c r="N136" s="527"/>
      <c r="O136" s="528"/>
    </row>
    <row r="137" spans="3:17" x14ac:dyDescent="0.3">
      <c r="C137" s="519" t="s">
        <v>4525</v>
      </c>
      <c r="D137" s="616" t="s">
        <v>4529</v>
      </c>
      <c r="E137" s="616"/>
      <c r="F137" s="616"/>
      <c r="G137" s="616"/>
      <c r="H137" s="616"/>
      <c r="I137" s="616"/>
      <c r="J137" s="616"/>
      <c r="K137" s="616"/>
      <c r="L137" s="616"/>
      <c r="M137" s="616"/>
      <c r="N137" s="617" t="s">
        <v>4526</v>
      </c>
      <c r="O137" s="619" t="s">
        <v>4527</v>
      </c>
    </row>
    <row r="138" spans="3:17" ht="41.4" customHeight="1" x14ac:dyDescent="0.3">
      <c r="C138" s="520"/>
      <c r="D138" s="107" t="s">
        <v>3305</v>
      </c>
      <c r="E138" s="107" t="s">
        <v>3306</v>
      </c>
      <c r="F138" s="107" t="s">
        <v>3307</v>
      </c>
      <c r="G138" s="107" t="s">
        <v>3308</v>
      </c>
      <c r="H138" s="107" t="s">
        <v>3309</v>
      </c>
      <c r="I138" s="107" t="s">
        <v>3310</v>
      </c>
      <c r="J138" s="107" t="s">
        <v>2666</v>
      </c>
      <c r="K138" s="107" t="s">
        <v>3311</v>
      </c>
      <c r="L138" s="107" t="s">
        <v>3312</v>
      </c>
      <c r="M138" s="107" t="s">
        <v>3303</v>
      </c>
      <c r="N138" s="618"/>
      <c r="O138" s="620"/>
    </row>
    <row r="139" spans="3:17" ht="15" thickBot="1" x14ac:dyDescent="0.35">
      <c r="C139" s="234" t="b">
        <v>1</v>
      </c>
      <c r="D139" s="233" t="b">
        <v>1</v>
      </c>
      <c r="E139" s="231" t="b">
        <v>0</v>
      </c>
      <c r="F139" s="231" t="b">
        <v>1</v>
      </c>
      <c r="G139" s="231" t="b">
        <v>0</v>
      </c>
      <c r="H139" s="231" t="b">
        <v>1</v>
      </c>
      <c r="I139" s="231" t="b">
        <v>0</v>
      </c>
      <c r="J139" s="231" t="b">
        <v>1</v>
      </c>
      <c r="K139" s="231" t="b">
        <v>0</v>
      </c>
      <c r="L139" s="231" t="b">
        <v>1</v>
      </c>
      <c r="M139" s="231" t="b">
        <v>0</v>
      </c>
      <c r="N139" s="231" t="b">
        <v>1</v>
      </c>
      <c r="O139" s="232" t="b">
        <v>0</v>
      </c>
      <c r="P139" s="17" t="str">
        <f>IF(C139=TRUE, IF(COUNTIF(D139:M139, TRUE)&gt;0, "OK", "MISSING VALUE"), "")</f>
        <v>OK</v>
      </c>
    </row>
    <row r="140" spans="3:17" ht="57.45" customHeight="1" thickBot="1" x14ac:dyDescent="0.35">
      <c r="F140"/>
    </row>
    <row r="141" spans="3:17" x14ac:dyDescent="0.3">
      <c r="C141" s="532" t="str">
        <f xml:space="preserve"> "B2 - Cooperative specific disclosures " &amp; template_reporting_period_display &amp; " [If applicable]"</f>
        <v>B2 - Cooperative specific disclosures from 01/01/2024 to 31/12/2024 [If applicable]</v>
      </c>
      <c r="D141" s="533"/>
      <c r="F141"/>
    </row>
    <row r="142" spans="3:17" x14ac:dyDescent="0.3">
      <c r="C142" s="489">
        <v>79</v>
      </c>
      <c r="D142" s="490"/>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506"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01/01/2024 to 31/12/2024 [If applicable linked with B2]</v>
      </c>
      <c r="D147" s="507"/>
      <c r="E147" s="507"/>
      <c r="F147" s="507"/>
      <c r="G147" s="508"/>
    </row>
    <row r="148" spans="1:8" ht="37.799999999999997" customHeight="1" x14ac:dyDescent="0.3">
      <c r="A148" s="298">
        <v>48</v>
      </c>
      <c r="B148" s="299">
        <v>213</v>
      </c>
      <c r="C148" s="509" t="s">
        <v>4531</v>
      </c>
      <c r="D148" s="510"/>
      <c r="E148" s="500" t="s">
        <v>4839</v>
      </c>
      <c r="F148" s="501"/>
      <c r="G148" s="502"/>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6" t="s">
        <v>1</v>
      </c>
      <c r="B149" s="299">
        <v>213</v>
      </c>
      <c r="C149" s="511" t="s">
        <v>4530</v>
      </c>
      <c r="D149" s="512"/>
      <c r="E149" s="500"/>
      <c r="F149" s="501"/>
      <c r="G149" s="502"/>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498" t="s">
        <v>4528</v>
      </c>
      <c r="D150" s="499"/>
      <c r="E150" s="503" t="s">
        <v>4839</v>
      </c>
      <c r="F150" s="504"/>
      <c r="G150" s="505"/>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06" t="str">
        <f xml:space="preserve"> "C1 – Strategy: Business Model and Sustainability – Related Initiatives " &amp; template_reporting_period_display &amp; " [Always to be reported]"</f>
        <v>C1 – Strategy: Business Model and Sustainability – Related Initiatives from 01/01/2024 to 31/12/2024 [Always to be reported]</v>
      </c>
      <c r="D153" s="507"/>
      <c r="E153" s="507"/>
      <c r="F153" s="507"/>
      <c r="G153" s="508"/>
    </row>
    <row r="154" spans="1:8" x14ac:dyDescent="0.3">
      <c r="A154" s="295" t="s">
        <v>4762</v>
      </c>
      <c r="B154" s="285" t="s">
        <v>1</v>
      </c>
      <c r="C154" s="606" t="s">
        <v>16</v>
      </c>
      <c r="D154" s="607"/>
      <c r="E154" s="595" t="s">
        <v>4839</v>
      </c>
      <c r="F154" s="596"/>
      <c r="G154" s="597"/>
      <c r="H154" s="17" t="str">
        <f>IF(AND($E$32="Option B (Basic Module and Comprehensive Module)", E154=""), "MISSING VALUE",
   IF(AND($E$32="Option A (Basic Module only)", E154&lt;&gt;""), "OK",
   IF(AND($E$32="Option B (Basic Module and Comprehensive Module)", E154&lt;&gt;""), "OK", "")))</f>
        <v>OK</v>
      </c>
    </row>
    <row r="155" spans="1:8" x14ac:dyDescent="0.3">
      <c r="A155" s="295" t="s">
        <v>4763</v>
      </c>
      <c r="B155" s="285" t="s">
        <v>1</v>
      </c>
      <c r="C155" s="608" t="s">
        <v>3738</v>
      </c>
      <c r="D155" s="609"/>
      <c r="E155" s="598" t="s">
        <v>4839</v>
      </c>
      <c r="F155" s="598"/>
      <c r="G155" s="599"/>
      <c r="H155" s="17" t="str">
        <f>IF(AND($E$32="Option B (Basic Module and Comprehensive Module)", E155=""), "MISSING VALUE",
   IF(AND($E$32="Option A (Basic Module only)", E155&lt;&gt;""), "OK",
   IF(AND($E$32="Option B (Basic Module and Comprehensive Module)", E155&lt;&gt;""), "OK", "")))</f>
        <v>OK</v>
      </c>
    </row>
    <row r="156" spans="1:8" ht="15" thickBot="1" x14ac:dyDescent="0.35">
      <c r="A156" s="295" t="s">
        <v>4764</v>
      </c>
      <c r="B156" s="297">
        <v>212</v>
      </c>
      <c r="C156" s="604" t="s">
        <v>3739</v>
      </c>
      <c r="D156" s="605"/>
      <c r="E156" s="600" t="s">
        <v>4839</v>
      </c>
      <c r="F156" s="600"/>
      <c r="G156" s="601"/>
      <c r="H156" s="17"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495" t="str">
        <f xml:space="preserve"> "C1 – Strategy: Business Model and Sustainability – Related Initiatives " &amp; template_reporting_period_display &amp; " [If applicable]"</f>
        <v>C1 – Strategy: Business Model and Sustainability – Related Initiatives from 01/01/2024 to 31/12/2024 [If applicable]</v>
      </c>
      <c r="D158" s="496"/>
      <c r="E158" s="496"/>
      <c r="F158" s="496"/>
      <c r="G158" s="497"/>
    </row>
    <row r="159" spans="1:8" x14ac:dyDescent="0.3">
      <c r="C159" s="491" t="s">
        <v>3991</v>
      </c>
      <c r="D159" s="492"/>
      <c r="E159" s="493" t="b">
        <v>1</v>
      </c>
      <c r="F159" s="493"/>
      <c r="G159" s="494"/>
    </row>
    <row r="160" spans="1:8" ht="15" thickBot="1" x14ac:dyDescent="0.35">
      <c r="A160" s="295" t="s">
        <v>4765</v>
      </c>
      <c r="B160" s="285" t="s">
        <v>1</v>
      </c>
      <c r="C160" s="498" t="s">
        <v>4532</v>
      </c>
      <c r="D160" s="499"/>
      <c r="E160" s="602" t="s">
        <v>4839</v>
      </c>
      <c r="F160" s="602"/>
      <c r="G160" s="603"/>
      <c r="H160" s="17"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92"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01/01/2024 to 31/12/2024 [May (optional)] </v>
      </c>
      <c r="D162" s="593"/>
      <c r="E162" s="593"/>
      <c r="F162" s="593"/>
      <c r="G162" s="593"/>
      <c r="H162" s="594"/>
      <c r="I162" s="10"/>
      <c r="J162" s="10"/>
      <c r="K162" s="10"/>
      <c r="L162" s="10"/>
      <c r="M162" s="10"/>
      <c r="N162" s="10"/>
      <c r="O162" s="10"/>
    </row>
    <row r="163" spans="2:15" ht="14.85" customHeight="1" x14ac:dyDescent="0.3">
      <c r="B163" s="287"/>
      <c r="C163" s="590">
        <v>10</v>
      </c>
      <c r="D163" s="590"/>
      <c r="E163" s="590"/>
      <c r="F163" s="590"/>
      <c r="G163" s="590"/>
      <c r="H163" s="591"/>
      <c r="I163" s="10"/>
      <c r="J163" s="10"/>
      <c r="K163" s="10"/>
      <c r="L163" s="10"/>
      <c r="M163" s="10"/>
      <c r="N163" s="10"/>
      <c r="O163" s="10"/>
    </row>
    <row r="164" spans="2:15" ht="15" thickBot="1" x14ac:dyDescent="0.35">
      <c r="C164" s="586"/>
      <c r="D164" s="587"/>
      <c r="E164" s="587"/>
      <c r="F164" s="587"/>
      <c r="G164" s="587"/>
      <c r="H164" s="587"/>
      <c r="I164" s="109" t="str">
        <f>IF(C164&lt;&gt;"", "OK", "")</f>
        <v/>
      </c>
    </row>
  </sheetData>
  <sheetProtection algorithmName="SHA-512" hashValue="VjZxZpPYOUcNdlpUwGji/pWU6GRxkb4UEPrQcdNMkTuuINhbByYLl5N0QjX4KtoU3ru1dt7F4mjivNEkigv3jg==" saltValue="1+tgWOgMmxnv/ySJx3xG7A=="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tabSelected="1" topLeftCell="C218" zoomScale="82" zoomScaleNormal="100" workbookViewId="0">
      <selection activeCell="E235" sqref="E235:K235"/>
    </sheetView>
  </sheetViews>
  <sheetFormatPr defaultColWidth="8.88671875" defaultRowHeight="14.4" outlineLevelRow="1" x14ac:dyDescent="0.3"/>
  <cols>
    <col min="1" max="2" width="10" bestFit="1" customWidth="1"/>
    <col min="3" max="3" width="78.109375" customWidth="1"/>
    <col min="4" max="4" width="20.6640625" customWidth="1"/>
    <col min="5" max="5" width="19.6640625" customWidth="1"/>
    <col min="6" max="6" width="22.6640625" customWidth="1"/>
    <col min="7" max="7" width="15.6640625" customWidth="1"/>
    <col min="8" max="8" width="5.33203125" customWidth="1"/>
    <col min="9" max="9" width="16.8867187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4747</v>
      </c>
      <c r="B1" s="310" t="s">
        <v>4746</v>
      </c>
    </row>
    <row r="2" spans="1:12" x14ac:dyDescent="0.3">
      <c r="C2" s="534" t="str">
        <f>"B3 - Total Energy Consumption (in MWh) " &amp; template_reporting_period_display  &amp; " [Always to be reported]"</f>
        <v>B3 - Total Energy Consumption (in MWh) from 01/01/2024 to 31/12/2024 [Always to be reported]</v>
      </c>
      <c r="D2" s="535"/>
      <c r="E2" s="535"/>
      <c r="F2" s="535"/>
      <c r="G2" s="535"/>
      <c r="H2" s="535"/>
      <c r="I2" s="535"/>
      <c r="J2" s="535"/>
      <c r="K2" s="536"/>
    </row>
    <row r="3" spans="1:12" x14ac:dyDescent="0.3">
      <c r="C3" s="529">
        <v>29</v>
      </c>
      <c r="D3" s="530"/>
      <c r="E3" s="530"/>
      <c r="F3" s="530"/>
      <c r="G3" s="530"/>
      <c r="H3" s="530"/>
      <c r="I3" s="530"/>
      <c r="J3" s="530"/>
      <c r="K3" s="531"/>
    </row>
    <row r="4" spans="1:12" x14ac:dyDescent="0.3">
      <c r="C4" s="723" t="s">
        <v>4766</v>
      </c>
      <c r="D4" s="724"/>
      <c r="E4" s="724"/>
      <c r="F4" s="724"/>
      <c r="G4" s="724"/>
      <c r="H4" s="724"/>
      <c r="I4" s="724"/>
      <c r="J4" s="724"/>
      <c r="K4" s="725"/>
    </row>
    <row r="5" spans="1:12" ht="15" thickBot="1" x14ac:dyDescent="0.35">
      <c r="C5" s="860" t="s">
        <v>3287</v>
      </c>
      <c r="D5" s="861"/>
      <c r="E5" s="861"/>
      <c r="F5" s="862"/>
      <c r="G5" s="875">
        <v>250</v>
      </c>
      <c r="H5" s="876"/>
      <c r="I5" s="876"/>
      <c r="J5" s="876"/>
      <c r="K5" s="877"/>
      <c r="L5" s="17" t="str">
        <f>IF(AND(OR('General Information'!E32="Option A (Basic Module only)", 'General Information'!E32="Option B (Basic Module and Comprehensive Module)"),G5=""),"MISSING VALUE",IF('General Information'!E32="","","OK"))</f>
        <v>OK</v>
      </c>
    </row>
    <row r="6" spans="1:12" ht="15" thickBot="1" x14ac:dyDescent="0.35"/>
    <row r="7" spans="1:12" x14ac:dyDescent="0.3">
      <c r="C7" s="534" t="str">
        <f>"B3 - Breakdown of energy consumption (in MWh) " &amp; template_reporting_period_display &amp; " [If applicable]"</f>
        <v>B3 - Breakdown of energy consumption (in MWh) from 01/01/2024 to 31/12/2024 [If applicable]</v>
      </c>
      <c r="D7" s="535"/>
      <c r="E7" s="535"/>
      <c r="F7" s="535"/>
      <c r="G7" s="535"/>
      <c r="H7" s="535"/>
      <c r="I7" s="535"/>
      <c r="J7" s="535"/>
      <c r="K7" s="536"/>
    </row>
    <row r="8" spans="1:12" x14ac:dyDescent="0.3">
      <c r="C8" s="529">
        <v>29</v>
      </c>
      <c r="D8" s="530"/>
      <c r="E8" s="530"/>
      <c r="F8" s="530"/>
      <c r="G8" s="530"/>
      <c r="H8" s="530"/>
      <c r="I8" s="530"/>
      <c r="J8" s="530"/>
      <c r="K8" s="531"/>
    </row>
    <row r="9" spans="1:12" x14ac:dyDescent="0.3">
      <c r="C9" s="723" t="s">
        <v>4766</v>
      </c>
      <c r="D9" s="724"/>
      <c r="E9" s="724"/>
      <c r="F9" s="724"/>
      <c r="G9" s="724"/>
      <c r="H9" s="724"/>
      <c r="I9" s="724"/>
      <c r="J9" s="724"/>
      <c r="K9" s="725"/>
    </row>
    <row r="10" spans="1:12" x14ac:dyDescent="0.3">
      <c r="C10" s="711" t="s">
        <v>3990</v>
      </c>
      <c r="D10" s="712"/>
      <c r="E10" s="712"/>
      <c r="F10" s="712"/>
      <c r="G10" s="493" t="b">
        <v>1</v>
      </c>
      <c r="H10" s="493"/>
      <c r="I10" s="493"/>
      <c r="J10" s="493"/>
      <c r="K10" s="494"/>
    </row>
    <row r="11" spans="1:12" ht="38.700000000000003" customHeight="1" x14ac:dyDescent="0.3">
      <c r="C11" s="878"/>
      <c r="D11" s="879"/>
      <c r="E11" s="879"/>
      <c r="F11" s="879"/>
      <c r="G11" s="873" t="s">
        <v>3778</v>
      </c>
      <c r="H11" s="874"/>
      <c r="I11" s="874"/>
      <c r="J11" s="125" t="s">
        <v>3779</v>
      </c>
      <c r="K11" s="126" t="s">
        <v>3780</v>
      </c>
      <c r="L11" s="17"/>
    </row>
    <row r="12" spans="1:12" x14ac:dyDescent="0.3">
      <c r="C12" s="863" t="s">
        <v>17</v>
      </c>
      <c r="D12" s="864"/>
      <c r="E12" s="864"/>
      <c r="F12" s="865"/>
      <c r="G12" s="869">
        <v>10</v>
      </c>
      <c r="H12" s="870"/>
      <c r="I12" s="733"/>
      <c r="J12" s="315">
        <v>100</v>
      </c>
      <c r="K12" s="353">
        <f>IF(AND(G12="",J12=""),"-",SUM(G12:J12))</f>
        <v>110</v>
      </c>
      <c r="L12" s="666" t="str" cm="1">
        <f t="array" ref="L12">IF(G10=TRUE,
    IF(SUMPRODUCT(--(G12:J14&lt;&gt;"-"), --(G12:J14&lt;&gt;""))&gt;0,
        IF(SUM(G12:J14) &gt; TotalEnergyConsumption, "VALUE INCONSISTENCY", "OK"),
        "MISSING VALUE"),
"")</f>
        <v>OK</v>
      </c>
    </row>
    <row r="13" spans="1:12" x14ac:dyDescent="0.3">
      <c r="C13" s="866" t="s">
        <v>4456</v>
      </c>
      <c r="D13" s="867"/>
      <c r="E13" s="867"/>
      <c r="F13" s="868"/>
      <c r="G13" s="869">
        <v>23</v>
      </c>
      <c r="H13" s="870"/>
      <c r="I13" s="733"/>
      <c r="J13" s="315">
        <v>20</v>
      </c>
      <c r="K13" s="353">
        <f>IF(AND(G13="",J13=""),"-",SUM(G13:J13))</f>
        <v>43</v>
      </c>
      <c r="L13" s="666"/>
    </row>
    <row r="14" spans="1:12" ht="15" thickBot="1" x14ac:dyDescent="0.35">
      <c r="C14" s="818" t="s">
        <v>4830</v>
      </c>
      <c r="D14" s="819"/>
      <c r="E14" s="819"/>
      <c r="F14" s="820"/>
      <c r="G14" s="871">
        <f>'Fuel Converter'!A32</f>
        <v>76.500061200000005</v>
      </c>
      <c r="H14" s="871"/>
      <c r="I14" s="872"/>
      <c r="J14" s="316">
        <f>'Fuel Converter'!B32</f>
        <v>2.1402794900000002E-4</v>
      </c>
      <c r="K14" s="354">
        <f>IF(AND(G14="-",J14="-"),"-",SUM(G14:J14))</f>
        <v>76.500275227949004</v>
      </c>
      <c r="L14" s="666"/>
    </row>
    <row r="15" spans="1:12" ht="15" thickBot="1" x14ac:dyDescent="0.35">
      <c r="C15" s="12"/>
    </row>
    <row r="16" spans="1:12" ht="28.5" customHeight="1" x14ac:dyDescent="0.3">
      <c r="C16" s="646" t="s">
        <v>4506</v>
      </c>
      <c r="D16" s="647"/>
      <c r="E16" s="647"/>
      <c r="F16" s="648"/>
      <c r="G16" s="857" t="s">
        <v>4505</v>
      </c>
      <c r="H16" s="858"/>
      <c r="I16" s="858"/>
      <c r="J16" s="858"/>
      <c r="K16" s="859"/>
    </row>
    <row r="17" spans="3:12" x14ac:dyDescent="0.3">
      <c r="C17" s="649">
        <v>30</v>
      </c>
      <c r="D17" s="650"/>
      <c r="E17" s="650"/>
      <c r="F17" s="651"/>
      <c r="G17" s="649" t="s">
        <v>4768</v>
      </c>
      <c r="H17" s="650"/>
      <c r="I17" s="650"/>
      <c r="J17" s="301" t="s">
        <v>4770</v>
      </c>
      <c r="K17" s="302" t="s">
        <v>4771</v>
      </c>
    </row>
    <row r="18" spans="3:12" ht="15" thickBot="1" x14ac:dyDescent="0.35">
      <c r="C18" s="288" t="s">
        <v>1</v>
      </c>
      <c r="D18" s="569" t="s">
        <v>4767</v>
      </c>
      <c r="E18" s="569"/>
      <c r="F18" s="856"/>
      <c r="G18" s="643" t="s">
        <v>4769</v>
      </c>
      <c r="H18" s="644"/>
      <c r="I18" s="644"/>
      <c r="J18" s="295" t="s">
        <v>4769</v>
      </c>
      <c r="K18" s="303" t="s">
        <v>4769</v>
      </c>
    </row>
    <row r="19" spans="3:12" ht="30" customHeight="1" x14ac:dyDescent="0.3">
      <c r="C19" s="821"/>
      <c r="D19" s="822"/>
      <c r="E19" s="822"/>
      <c r="F19" s="823"/>
      <c r="G19" s="880" t="s">
        <v>3992</v>
      </c>
      <c r="H19" s="880"/>
      <c r="I19" s="880"/>
      <c r="J19" s="198" t="b">
        <v>1</v>
      </c>
      <c r="K19" s="128"/>
    </row>
    <row r="20" spans="3:12" ht="28.8" x14ac:dyDescent="0.3">
      <c r="C20" s="129"/>
      <c r="D20" s="749" t="s">
        <v>18</v>
      </c>
      <c r="E20" s="749"/>
      <c r="F20" s="827"/>
      <c r="G20" s="748" t="s">
        <v>4457</v>
      </c>
      <c r="H20" s="749"/>
      <c r="I20" s="749"/>
      <c r="J20" s="6" t="s">
        <v>4458</v>
      </c>
      <c r="K20" s="56" t="s">
        <v>4482</v>
      </c>
    </row>
    <row r="21" spans="3:12" x14ac:dyDescent="0.3">
      <c r="C21" s="69" t="s">
        <v>3631</v>
      </c>
      <c r="D21" s="828" t="str">
        <f>IF('General Information'!$D$9="", "dd/mm/yyyy", TEXT('General Information'!$D$9, "DD/MM/YYYY")) &amp; " - " &amp; IF('General Information'!$D$13="", "dd/mm/yyyy", TEXT('General Information'!$D$13, "DD/MM/YYYY"))</f>
        <v>01/01/2024 - 31/12/2024</v>
      </c>
      <c r="E21" s="828"/>
      <c r="F21" s="829"/>
      <c r="G21" s="731">
        <v>2020</v>
      </c>
      <c r="H21" s="732"/>
      <c r="I21" s="732"/>
      <c r="J21" s="167">
        <v>2030</v>
      </c>
      <c r="K21" s="131"/>
      <c r="L21" s="17" t="str">
        <f>IF(AND(J19=TRUE,G21&lt;&gt;"",J21&lt;&gt;""),"OK",IF(AND(J19=TRUE,G21="",J21=""),"MISSING VALUE",IF(AND(J19=FALSE,G21="",J21=""),"",IF(AND(J19=TRUE,OR(G21="",J21="")),"MISSING VALUE",""))))</f>
        <v>OK</v>
      </c>
    </row>
    <row r="22" spans="3:12" x14ac:dyDescent="0.3">
      <c r="C22" s="4" t="s">
        <v>4459</v>
      </c>
      <c r="D22" s="832">
        <v>100</v>
      </c>
      <c r="E22" s="832"/>
      <c r="F22" s="833"/>
      <c r="G22" s="733">
        <v>150</v>
      </c>
      <c r="H22" s="734"/>
      <c r="I22" s="734"/>
      <c r="J22" s="315">
        <v>75</v>
      </c>
      <c r="K22" s="132">
        <f>IF(AND(G22="", J22=""), "-", IFERROR(-(1 - (J22 / G22)), "-"))</f>
        <v>-0.5</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836">
        <v>50</v>
      </c>
      <c r="E23" s="837"/>
      <c r="F23" s="838"/>
      <c r="G23" s="733">
        <v>75</v>
      </c>
      <c r="H23" s="734"/>
      <c r="I23" s="734"/>
      <c r="J23" s="315">
        <v>15</v>
      </c>
      <c r="K23" s="132">
        <f t="shared" ref="K23:K26" si="0">IF(AND(G23="", J23=""), "-", IFERROR(-(1 - (J23 / G23)), "-"))</f>
        <v>-0.8</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832"/>
      <c r="E24" s="832"/>
      <c r="F24" s="833"/>
      <c r="G24" s="733"/>
      <c r="H24" s="734"/>
      <c r="I24" s="734"/>
      <c r="J24" s="315"/>
      <c r="K24" s="132" t="str">
        <f t="shared" si="0"/>
        <v>-</v>
      </c>
      <c r="L24" s="17" t="str">
        <f>IF(D24&lt;&gt;"", IF(AND(G24="", J24=""), "OK", IF(AND(G24&lt;&gt;"", J24=""), "MISSING VALUE", "OK")), "")</f>
        <v/>
      </c>
    </row>
    <row r="25" spans="3:12" x14ac:dyDescent="0.3">
      <c r="C25" s="13" t="s">
        <v>4462</v>
      </c>
      <c r="D25" s="736">
        <f>IF(AND(D22="",D23=""),"-",SUM(D22,D23))</f>
        <v>150</v>
      </c>
      <c r="E25" s="736"/>
      <c r="F25" s="752"/>
      <c r="G25" s="737">
        <f>IF(AND(G22="",G23=""),"-",SUM(G22,G23))</f>
        <v>225</v>
      </c>
      <c r="H25" s="736"/>
      <c r="I25" s="736"/>
      <c r="J25" s="318">
        <f>IF(AND(J22="",J23=""),"-",SUM(J22,J23))</f>
        <v>90</v>
      </c>
      <c r="K25" s="132">
        <f t="shared" si="0"/>
        <v>-0.6</v>
      </c>
    </row>
    <row r="26" spans="3:12" ht="15" thickBot="1" x14ac:dyDescent="0.35">
      <c r="C26" s="5" t="s">
        <v>4463</v>
      </c>
      <c r="D26" s="765" t="str">
        <f>IF(OR(D22="",D24=""),"-",SUM(D22,D24))</f>
        <v>-</v>
      </c>
      <c r="E26" s="738"/>
      <c r="F26" s="766"/>
      <c r="G26" s="738" t="str">
        <f>IF(OR(G22="",G24=""),"-",SUM(G22,G24))</f>
        <v>-</v>
      </c>
      <c r="H26" s="738"/>
      <c r="I26" s="739"/>
      <c r="J26" s="319" t="str">
        <f>IF(OR(J22="",J24=""),"-",SUM(J22,J24))</f>
        <v>-</v>
      </c>
      <c r="K26" s="132" t="str">
        <f t="shared" si="0"/>
        <v>-</v>
      </c>
    </row>
    <row r="27" spans="3:12" x14ac:dyDescent="0.3">
      <c r="C27" s="835" t="s">
        <v>4772</v>
      </c>
      <c r="D27" s="740"/>
      <c r="E27" s="740"/>
      <c r="F27" s="740"/>
      <c r="G27" s="740">
        <v>54</v>
      </c>
      <c r="H27" s="740"/>
      <c r="I27" s="740"/>
      <c r="J27" s="740"/>
      <c r="K27" s="133"/>
    </row>
    <row r="28" spans="3:12" ht="15" thickBot="1" x14ac:dyDescent="0.35">
      <c r="C28" s="288" t="s">
        <v>1</v>
      </c>
      <c r="D28" s="569" t="s">
        <v>4773</v>
      </c>
      <c r="E28" s="569"/>
      <c r="F28" s="569"/>
      <c r="G28" s="741" t="s">
        <v>1</v>
      </c>
      <c r="H28" s="741"/>
      <c r="I28" s="741"/>
      <c r="J28" s="289" t="s">
        <v>1</v>
      </c>
      <c r="K28" s="134"/>
    </row>
    <row r="29" spans="3:12" ht="22.2" customHeight="1" x14ac:dyDescent="0.3">
      <c r="C29" s="824" t="s">
        <v>4652</v>
      </c>
      <c r="D29" s="825"/>
      <c r="E29" s="825"/>
      <c r="F29" s="826"/>
      <c r="G29" s="807" t="b">
        <v>1</v>
      </c>
      <c r="H29" s="808"/>
      <c r="I29" s="808"/>
      <c r="J29" s="808"/>
      <c r="K29" s="809"/>
    </row>
    <row r="30" spans="3:12" x14ac:dyDescent="0.3">
      <c r="C30" s="124" t="s">
        <v>4488</v>
      </c>
      <c r="D30" s="661">
        <v>200</v>
      </c>
      <c r="E30" s="661"/>
      <c r="F30" s="631"/>
      <c r="G30" s="690">
        <v>300</v>
      </c>
      <c r="H30" s="661"/>
      <c r="I30" s="661"/>
      <c r="J30" s="320">
        <v>100</v>
      </c>
      <c r="K30" s="348">
        <f>IF(OR(G30="", J30=""), "-", IFERROR(-(1 - (J30 / G30)), "-"))</f>
        <v>-0.66666666666666674</v>
      </c>
      <c r="L30" s="691" t="str" cm="1">
        <f t="array" ref="L30">IF(
   OR(
      SUMPRODUCT((G30:G44&lt;&gt;"")*(J30:J44="")) &gt; 0,
      SUMPRODUCT((J30:J44&lt;&gt;"")*(G30:G44="")) &gt; 0
   ),
   "MISSING VALUE",
   IF(
      AND(G29=TRUE, COUNTA(D30:F44)=0),
      "MISSING VALUE",
      IF(G29=FALSE, "", "OK")
   )
)</f>
        <v>OK</v>
      </c>
    </row>
    <row r="31" spans="3:12" x14ac:dyDescent="0.3">
      <c r="C31" s="124" t="s">
        <v>4489</v>
      </c>
      <c r="D31" s="661"/>
      <c r="E31" s="661"/>
      <c r="F31" s="631"/>
      <c r="G31" s="690"/>
      <c r="H31" s="661"/>
      <c r="I31" s="661"/>
      <c r="J31" s="320"/>
      <c r="K31" s="348" t="str">
        <f t="shared" ref="K31:K44" si="1">IF(OR(G31="", J31=""), "-", IFERROR(-(1 - (J31 / G31)), "-"))</f>
        <v>-</v>
      </c>
      <c r="L31" s="691"/>
    </row>
    <row r="32" spans="3:12" x14ac:dyDescent="0.3">
      <c r="C32" s="124" t="s">
        <v>4516</v>
      </c>
      <c r="D32" s="661"/>
      <c r="E32" s="661"/>
      <c r="F32" s="631"/>
      <c r="G32" s="690"/>
      <c r="H32" s="661"/>
      <c r="I32" s="661"/>
      <c r="J32" s="320"/>
      <c r="K32" s="348" t="str">
        <f t="shared" si="1"/>
        <v>-</v>
      </c>
      <c r="L32" s="691"/>
    </row>
    <row r="33" spans="3:12" x14ac:dyDescent="0.3">
      <c r="C33" s="124" t="s">
        <v>4490</v>
      </c>
      <c r="D33" s="661"/>
      <c r="E33" s="661"/>
      <c r="F33" s="631"/>
      <c r="G33" s="690"/>
      <c r="H33" s="661"/>
      <c r="I33" s="661"/>
      <c r="J33" s="320"/>
      <c r="K33" s="348" t="str">
        <f t="shared" si="1"/>
        <v>-</v>
      </c>
      <c r="L33" s="691"/>
    </row>
    <row r="34" spans="3:12" x14ac:dyDescent="0.3">
      <c r="C34" s="124" t="s">
        <v>4491</v>
      </c>
      <c r="D34" s="661"/>
      <c r="E34" s="661"/>
      <c r="F34" s="631"/>
      <c r="G34" s="690"/>
      <c r="H34" s="661"/>
      <c r="I34" s="661"/>
      <c r="J34" s="320"/>
      <c r="K34" s="348" t="str">
        <f t="shared" si="1"/>
        <v>-</v>
      </c>
      <c r="L34" s="691"/>
    </row>
    <row r="35" spans="3:12" x14ac:dyDescent="0.3">
      <c r="C35" s="124" t="s">
        <v>4492</v>
      </c>
      <c r="D35" s="661"/>
      <c r="E35" s="661"/>
      <c r="F35" s="631"/>
      <c r="G35" s="690"/>
      <c r="H35" s="661"/>
      <c r="I35" s="661"/>
      <c r="J35" s="320"/>
      <c r="K35" s="348" t="str">
        <f t="shared" si="1"/>
        <v>-</v>
      </c>
      <c r="L35" s="691"/>
    </row>
    <row r="36" spans="3:12" x14ac:dyDescent="0.3">
      <c r="C36" s="124" t="s">
        <v>4493</v>
      </c>
      <c r="D36" s="661"/>
      <c r="E36" s="661"/>
      <c r="F36" s="631"/>
      <c r="G36" s="690"/>
      <c r="H36" s="661"/>
      <c r="I36" s="661"/>
      <c r="J36" s="320"/>
      <c r="K36" s="348" t="str">
        <f t="shared" si="1"/>
        <v>-</v>
      </c>
      <c r="L36" s="691"/>
    </row>
    <row r="37" spans="3:12" x14ac:dyDescent="0.3">
      <c r="C37" s="124" t="s">
        <v>4494</v>
      </c>
      <c r="D37" s="661"/>
      <c r="E37" s="661"/>
      <c r="F37" s="631"/>
      <c r="G37" s="690"/>
      <c r="H37" s="661"/>
      <c r="I37" s="661"/>
      <c r="J37" s="320"/>
      <c r="K37" s="348" t="str">
        <f t="shared" si="1"/>
        <v>-</v>
      </c>
      <c r="L37" s="691"/>
    </row>
    <row r="38" spans="3:12" x14ac:dyDescent="0.3">
      <c r="C38" s="124" t="s">
        <v>4495</v>
      </c>
      <c r="D38" s="661">
        <v>500</v>
      </c>
      <c r="E38" s="661"/>
      <c r="F38" s="631"/>
      <c r="G38" s="690">
        <v>400</v>
      </c>
      <c r="H38" s="661"/>
      <c r="I38" s="661"/>
      <c r="J38" s="320">
        <v>200</v>
      </c>
      <c r="K38" s="348">
        <f t="shared" si="1"/>
        <v>-0.5</v>
      </c>
      <c r="L38" s="691"/>
    </row>
    <row r="39" spans="3:12" x14ac:dyDescent="0.3">
      <c r="C39" s="124" t="s">
        <v>4496</v>
      </c>
      <c r="D39" s="661"/>
      <c r="E39" s="661"/>
      <c r="F39" s="631"/>
      <c r="G39" s="690"/>
      <c r="H39" s="661"/>
      <c r="I39" s="661"/>
      <c r="J39" s="320"/>
      <c r="K39" s="348" t="str">
        <f t="shared" si="1"/>
        <v>-</v>
      </c>
      <c r="L39" s="691"/>
    </row>
    <row r="40" spans="3:12" x14ac:dyDescent="0.3">
      <c r="C40" s="124" t="s">
        <v>4497</v>
      </c>
      <c r="D40" s="661"/>
      <c r="E40" s="661"/>
      <c r="F40" s="631"/>
      <c r="G40" s="690"/>
      <c r="H40" s="661"/>
      <c r="I40" s="661"/>
      <c r="J40" s="320"/>
      <c r="K40" s="348" t="str">
        <f t="shared" si="1"/>
        <v>-</v>
      </c>
      <c r="L40" s="691"/>
    </row>
    <row r="41" spans="3:12" x14ac:dyDescent="0.3">
      <c r="C41" s="124" t="s">
        <v>4498</v>
      </c>
      <c r="D41" s="661"/>
      <c r="E41" s="661"/>
      <c r="F41" s="631"/>
      <c r="G41" s="690"/>
      <c r="H41" s="661"/>
      <c r="I41" s="661"/>
      <c r="J41" s="320"/>
      <c r="K41" s="348" t="str">
        <f t="shared" si="1"/>
        <v>-</v>
      </c>
      <c r="L41" s="691"/>
    </row>
    <row r="42" spans="3:12" x14ac:dyDescent="0.3">
      <c r="C42" s="124" t="s">
        <v>4499</v>
      </c>
      <c r="D42" s="661"/>
      <c r="E42" s="661"/>
      <c r="F42" s="631"/>
      <c r="G42" s="690"/>
      <c r="H42" s="661"/>
      <c r="I42" s="661"/>
      <c r="J42" s="320"/>
      <c r="K42" s="348" t="str">
        <f t="shared" si="1"/>
        <v>-</v>
      </c>
      <c r="L42" s="691"/>
    </row>
    <row r="43" spans="3:12" x14ac:dyDescent="0.3">
      <c r="C43" s="124" t="s">
        <v>4500</v>
      </c>
      <c r="D43" s="661"/>
      <c r="E43" s="661"/>
      <c r="F43" s="631"/>
      <c r="G43" s="690"/>
      <c r="H43" s="661"/>
      <c r="I43" s="661"/>
      <c r="J43" s="320"/>
      <c r="K43" s="348" t="str">
        <f t="shared" si="1"/>
        <v>-</v>
      </c>
      <c r="L43" s="691"/>
    </row>
    <row r="44" spans="3:12" x14ac:dyDescent="0.3">
      <c r="C44" s="124" t="s">
        <v>4501</v>
      </c>
      <c r="D44" s="661"/>
      <c r="E44" s="661"/>
      <c r="F44" s="631"/>
      <c r="G44" s="690"/>
      <c r="H44" s="661"/>
      <c r="I44" s="661"/>
      <c r="J44" s="320"/>
      <c r="K44" s="348" t="str">
        <f t="shared" si="1"/>
        <v>-</v>
      </c>
      <c r="L44" s="691"/>
    </row>
    <row r="45" spans="3:12" ht="15" thickBot="1" x14ac:dyDescent="0.35">
      <c r="C45" s="135" t="s">
        <v>4538</v>
      </c>
      <c r="D45" s="637">
        <f>IF(AND(G29=FALSE, COUNTA(D30:F44)=0), "-", IF(G29=TRUE, IF(SUM(D30:F44)=0, "-", SUM(D30:F44)), "-"))</f>
        <v>700</v>
      </c>
      <c r="E45" s="637"/>
      <c r="F45" s="834"/>
      <c r="G45" s="742">
        <f>IF(AND(G29=FALSE, COUNTA(G30:I44)=0), "-", IF(G29=TRUE, IF(SUM(G30:I44)=0, "-", SUM(G30:I44)), "-"))</f>
        <v>700</v>
      </c>
      <c r="H45" s="637"/>
      <c r="I45" s="637"/>
      <c r="J45" s="321">
        <f>IF(AND(G29=FALSE, COUNTA(J30:J44)=0), "-", IF(G29=TRUE, IF(SUM(J30:J44)=0, "-", SUM(J30:J44)), "-"))</f>
        <v>300</v>
      </c>
      <c r="K45" s="258">
        <f t="shared" ref="K45:K47" si="2">IF(AND(G45="", J45=""), "-", IFERROR(-(1 - (J45 / G45)), "-"))</f>
        <v>-0.5714285714285714</v>
      </c>
      <c r="L45" s="17"/>
    </row>
    <row r="46" spans="3:12" x14ac:dyDescent="0.3">
      <c r="C46" s="13" t="s">
        <v>4464</v>
      </c>
      <c r="D46" s="736">
        <f>IF(G29=FALSE, "-", IF(AND(D22="", D23="", D45=""), "-", IF(SUM(D22, D23, D45)=0, "-", SUM(D22, D23, D45))))</f>
        <v>850</v>
      </c>
      <c r="E46" s="736"/>
      <c r="F46" s="752"/>
      <c r="G46" s="735">
        <f>IF(G29=FALSE, "-", IF(AND(G22="", G23="", G45=""), "-", IF(SUM(G22, G23, G45)=0, "-", SUM(G22, G23, G45))))</f>
        <v>925</v>
      </c>
      <c r="H46" s="736"/>
      <c r="I46" s="736"/>
      <c r="J46" s="317">
        <f>IF(G29=FALSE, "-", IF(AND(J22="", J23="", J45=""), "-", IF(SUM(J22, J23, J45)=0, "-", SUM(J22, J23, J45))))</f>
        <v>390</v>
      </c>
      <c r="K46" s="259">
        <f t="shared" si="2"/>
        <v>-0.57837837837837835</v>
      </c>
    </row>
    <row r="47" spans="3:12" ht="15" thickBot="1" x14ac:dyDescent="0.35">
      <c r="C47" s="136" t="s">
        <v>4533</v>
      </c>
      <c r="D47" s="765" t="str">
        <f>IF(G29=FALSE,"-",IF(OR(D22="",D24="",D45=""),"-",SUM(D22,D24,D45)))</f>
        <v>-</v>
      </c>
      <c r="E47" s="738"/>
      <c r="F47" s="766"/>
      <c r="G47" s="767" t="str">
        <f>IF(G29=FALSE, "-", IF(OR(G22="", G24="", G45=""), "-", IF(SUM(G22, G24, G45)=0, "-", SUM(G22, G24, G45))))</f>
        <v>-</v>
      </c>
      <c r="H47" s="738"/>
      <c r="I47" s="739"/>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760" t="str">
        <f xml:space="preserve"> "C3 - Disclosure of list of main actions the entity seeks in order to achieve its targets " &amp; template_reporting_period_display &amp; " [If applicable]"</f>
        <v>C3 - Disclosure of list of main actions the entity seeks in order to achieve its targets from 01/01/2024 to 31/12/2024 [If applicable]</v>
      </c>
      <c r="D49" s="760"/>
      <c r="E49" s="760"/>
      <c r="F49" s="760"/>
      <c r="G49" s="760"/>
      <c r="H49" s="760"/>
      <c r="I49" s="760"/>
      <c r="J49" s="760"/>
      <c r="K49" s="761"/>
      <c r="L49" s="8"/>
    </row>
    <row r="50" spans="1:12" x14ac:dyDescent="0.3">
      <c r="C50" s="529" t="s">
        <v>4774</v>
      </c>
      <c r="D50" s="529"/>
      <c r="E50" s="529"/>
      <c r="F50" s="529"/>
      <c r="G50" s="529"/>
      <c r="H50" s="529"/>
      <c r="I50" s="529"/>
      <c r="J50" s="529"/>
      <c r="K50" s="698"/>
    </row>
    <row r="51" spans="1:12" x14ac:dyDescent="0.3">
      <c r="C51" s="723">
        <v>223</v>
      </c>
      <c r="D51" s="723"/>
      <c r="E51" s="723"/>
      <c r="F51" s="723"/>
      <c r="G51" s="723"/>
      <c r="H51" s="723"/>
      <c r="I51" s="723"/>
      <c r="J51" s="723"/>
      <c r="K51" s="723"/>
      <c r="L51" s="8"/>
    </row>
    <row r="52" spans="1:12" ht="15" thickBot="1" x14ac:dyDescent="0.35">
      <c r="C52" s="758" t="s">
        <v>4841</v>
      </c>
      <c r="D52" s="758"/>
      <c r="E52" s="758"/>
      <c r="F52" s="758"/>
      <c r="G52" s="758"/>
      <c r="H52" s="758"/>
      <c r="I52" s="758"/>
      <c r="J52" s="758"/>
      <c r="K52" s="759"/>
      <c r="L52" s="127" t="str">
        <f>IF(AND(J19=TRUE,C52&lt;&gt;""),"OK",IF(AND(J19=TRUE,C52=""),"MISSING VALUE",""))</f>
        <v>OK</v>
      </c>
    </row>
    <row r="54" spans="1:12" ht="15" thickBot="1" x14ac:dyDescent="0.35">
      <c r="C54" s="9"/>
      <c r="D54" s="9"/>
      <c r="E54" s="9"/>
      <c r="F54" s="9"/>
      <c r="G54" s="9"/>
      <c r="H54" s="9"/>
      <c r="I54" s="9"/>
      <c r="J54" s="9"/>
      <c r="K54" s="9"/>
    </row>
    <row r="55" spans="1:12" x14ac:dyDescent="0.3">
      <c r="C55" s="760" t="str">
        <f xml:space="preserve"> "C3 - Transition plan for undertakings operating in high climate impact sectors " &amp; template_reporting_period_display &amp; " [If applicable]"</f>
        <v>C3 - Transition plan for undertakings operating in high climate impact sectors from 01/01/2024 to 31/12/2024 [If applicable]</v>
      </c>
      <c r="D55" s="760"/>
      <c r="E55" s="760"/>
      <c r="F55" s="760"/>
      <c r="G55" s="760"/>
      <c r="H55" s="760"/>
      <c r="I55" s="760"/>
      <c r="J55" s="760"/>
      <c r="K55" s="855"/>
    </row>
    <row r="56" spans="1:12" ht="38.4" customHeight="1" x14ac:dyDescent="0.3">
      <c r="A56" s="295">
        <v>55</v>
      </c>
      <c r="B56" s="297" t="s">
        <v>4732</v>
      </c>
      <c r="C56" s="124" t="s">
        <v>3993</v>
      </c>
      <c r="D56" s="77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778"/>
      <c r="F56" s="778"/>
      <c r="G56" s="778"/>
      <c r="H56" s="778"/>
      <c r="I56" s="778"/>
      <c r="J56" s="778"/>
      <c r="K56" s="779"/>
      <c r="L56" s="17"/>
    </row>
    <row r="57" spans="1:12" x14ac:dyDescent="0.3">
      <c r="A57" s="301">
        <v>55</v>
      </c>
      <c r="B57" s="297" t="s">
        <v>4732</v>
      </c>
      <c r="C57" s="124" t="s">
        <v>4483</v>
      </c>
      <c r="D57" s="753" t="s">
        <v>4536</v>
      </c>
      <c r="E57" s="754"/>
      <c r="F57" s="754"/>
      <c r="G57" s="754"/>
      <c r="H57" s="754"/>
      <c r="I57" s="754"/>
      <c r="J57" s="754"/>
      <c r="K57" s="755"/>
      <c r="L57" s="17"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1">
        <v>55</v>
      </c>
      <c r="B58" s="297" t="s">
        <v>4732</v>
      </c>
      <c r="C58" s="138" t="s">
        <v>4005</v>
      </c>
      <c r="D58" s="756"/>
      <c r="E58" s="756"/>
      <c r="F58" s="756"/>
      <c r="G58" s="756"/>
      <c r="H58" s="756"/>
      <c r="I58" s="756"/>
      <c r="J58" s="756"/>
      <c r="K58" s="757"/>
      <c r="L58" s="17" t="str">
        <f>IF(AND(D57="A transition plan has already been adopted",DescriptionOfATransitionPlanForClimateChangeMitigationIncludingAnExplanationOfHowItIsContributingToReduceGhgEmissions&lt;&gt;""),"OK","")</f>
        <v/>
      </c>
    </row>
    <row r="59" spans="1:12" x14ac:dyDescent="0.3">
      <c r="A59" s="889">
        <v>56</v>
      </c>
      <c r="B59" s="856" t="s">
        <v>4732</v>
      </c>
      <c r="C59" s="768" t="s">
        <v>4469</v>
      </c>
      <c r="D59" s="896" t="s">
        <v>3751</v>
      </c>
      <c r="E59" s="897"/>
      <c r="F59" s="897"/>
      <c r="G59" s="897"/>
      <c r="H59" s="898"/>
      <c r="I59" s="899">
        <v>2028</v>
      </c>
      <c r="J59" s="900"/>
      <c r="K59" s="901"/>
      <c r="L59" s="666"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OK</v>
      </c>
    </row>
    <row r="60" spans="1:12" x14ac:dyDescent="0.3">
      <c r="A60" s="890"/>
      <c r="B60" s="892"/>
      <c r="C60" s="894"/>
      <c r="D60" s="896" t="s">
        <v>3752</v>
      </c>
      <c r="E60" s="897"/>
      <c r="F60" s="897"/>
      <c r="G60" s="897"/>
      <c r="H60" s="898"/>
      <c r="I60" s="899" t="s">
        <v>3753</v>
      </c>
      <c r="J60" s="900"/>
      <c r="K60" s="901"/>
      <c r="L60" s="666"/>
    </row>
    <row r="61" spans="1:12" x14ac:dyDescent="0.3">
      <c r="A61" s="890"/>
      <c r="B61" s="892"/>
      <c r="C61" s="894"/>
      <c r="D61" s="896" t="s">
        <v>4828</v>
      </c>
      <c r="E61" s="897"/>
      <c r="F61" s="897"/>
      <c r="G61" s="897"/>
      <c r="H61" s="898"/>
      <c r="I61" s="899">
        <v>1</v>
      </c>
      <c r="J61" s="900"/>
      <c r="K61" s="901"/>
      <c r="L61" s="666"/>
    </row>
    <row r="62" spans="1:12" ht="15" thickBot="1" x14ac:dyDescent="0.35">
      <c r="A62" s="891"/>
      <c r="B62" s="893"/>
      <c r="C62" s="895"/>
      <c r="D62" s="775" t="str">
        <f>IF(OR(ISBLANK(I59), ISBLANK(I60), ISBLANK(I61)), "-", TEXT(DATE(I59, MONTH(DATEVALUE("1 " &amp; I60)), I61), "dd/mm/yyyy"))</f>
        <v>01/01/2028</v>
      </c>
      <c r="E62" s="775"/>
      <c r="F62" s="775"/>
      <c r="G62" s="775"/>
      <c r="H62" s="775"/>
      <c r="I62" s="775"/>
      <c r="J62" s="775"/>
      <c r="K62" s="776"/>
      <c r="L62" s="17"/>
    </row>
    <row r="63" spans="1:12" ht="15" thickBot="1" x14ac:dyDescent="0.35"/>
    <row r="64" spans="1:12" ht="14.85" customHeight="1" x14ac:dyDescent="0.3">
      <c r="C64" s="514" t="str">
        <f xml:space="preserve"> "B3 - Greenhouse gas emission intensity per turnover (in tCO2e/" &amp; template_currency &amp; ") " &amp; template_reporting_period_display &amp; " [Always to be reported]"</f>
        <v>B3 - Greenhouse gas emission intensity per turnover (in tCO2e/EUR  ) from 01/01/2024 to 31/12/2024 [Always to be reported]</v>
      </c>
      <c r="D64" s="514"/>
      <c r="E64" s="514"/>
      <c r="F64" s="514"/>
      <c r="G64" s="514"/>
      <c r="H64" s="514"/>
      <c r="I64" s="514"/>
      <c r="J64" s="514"/>
      <c r="K64" s="854"/>
    </row>
    <row r="65" spans="3:12" ht="14.85" customHeight="1" x14ac:dyDescent="0.3">
      <c r="C65" s="852">
        <v>31</v>
      </c>
      <c r="D65" s="852"/>
      <c r="E65" s="852"/>
      <c r="F65" s="852"/>
      <c r="G65" s="852"/>
      <c r="H65" s="852"/>
      <c r="I65" s="852"/>
      <c r="J65" s="852"/>
      <c r="K65" s="853"/>
    </row>
    <row r="66" spans="3:12" x14ac:dyDescent="0.3">
      <c r="C66" s="509" t="s">
        <v>4473</v>
      </c>
      <c r="D66" s="510"/>
      <c r="E66" s="510"/>
      <c r="F66" s="510"/>
      <c r="G66" s="850" t="str">
        <f>IF(G29=TRUE,
   "-",
   IFERROR(
      IF(OR(D25="", Turnover=""), "-", D25/Turnover),
      "-"
   )
)</f>
        <v>-</v>
      </c>
      <c r="H66" s="850"/>
      <c r="I66" s="850"/>
      <c r="J66" s="850"/>
      <c r="K66" s="851"/>
    </row>
    <row r="67" spans="3:12" x14ac:dyDescent="0.3">
      <c r="C67" s="768" t="s">
        <v>4474</v>
      </c>
      <c r="D67" s="769"/>
      <c r="E67" s="769"/>
      <c r="F67" s="769"/>
      <c r="G67" s="770" t="str">
        <f>IF(G29=TRUE,
   "-",
   IFERROR(
      IF(OR(D26="", Turnover=""), "-", D26/Turnover),
      "-"
   )
)</f>
        <v>-</v>
      </c>
      <c r="H67" s="770"/>
      <c r="I67" s="770"/>
      <c r="J67" s="770"/>
      <c r="K67" s="771"/>
    </row>
    <row r="68" spans="3:12" x14ac:dyDescent="0.3">
      <c r="C68" s="509" t="s">
        <v>4475</v>
      </c>
      <c r="D68" s="510"/>
      <c r="E68" s="510"/>
      <c r="F68" s="830"/>
      <c r="G68" s="762">
        <f>IF(G29=FALSE,
   "-",
   IFERROR(
      IF(OR(D46="", Turnover=""), "-", D46/Turnover),
      "-"
   )
)</f>
        <v>3.6170212765957448E-3</v>
      </c>
      <c r="H68" s="763"/>
      <c r="I68" s="763"/>
      <c r="J68" s="763"/>
      <c r="K68" s="764"/>
    </row>
    <row r="69" spans="3:12" ht="15" thickBot="1" x14ac:dyDescent="0.35">
      <c r="C69" s="498" t="s">
        <v>4537</v>
      </c>
      <c r="D69" s="499"/>
      <c r="E69" s="499"/>
      <c r="F69" s="831"/>
      <c r="G69" s="743" t="str">
        <f>IF(G29=FALSE,
   "-",
   IFERROR(
      IF(OR(D47="", Turnover=""), "-", D47/Turnover),
      "-"
   )
)</f>
        <v>-</v>
      </c>
      <c r="H69" s="744"/>
      <c r="I69" s="744"/>
      <c r="J69" s="744"/>
      <c r="K69" s="745"/>
      <c r="L69" s="8"/>
    </row>
    <row r="70" spans="3:12" ht="15" thickBot="1" x14ac:dyDescent="0.35"/>
    <row r="71" spans="3:12" x14ac:dyDescent="0.3">
      <c r="C71" s="646" t="str">
        <f xml:space="preserve"> "B4 – Pollution of air, water and soil " &amp; template_reporting_period_display &amp; " [If applicable]"</f>
        <v>B4 – Pollution of air, water and soil from 01/01/2024 to 31/12/2024 [If applicable]</v>
      </c>
      <c r="D71" s="647"/>
      <c r="E71" s="647"/>
      <c r="F71" s="647"/>
      <c r="G71" s="647"/>
      <c r="H71" s="647"/>
      <c r="I71" s="647"/>
      <c r="J71" s="647"/>
      <c r="K71" s="648"/>
    </row>
    <row r="72" spans="3:12" x14ac:dyDescent="0.3">
      <c r="C72" s="649">
        <v>32</v>
      </c>
      <c r="D72" s="650"/>
      <c r="E72" s="650"/>
      <c r="F72" s="650"/>
      <c r="G72" s="650"/>
      <c r="H72" s="650"/>
      <c r="I72" s="650"/>
      <c r="J72" s="650"/>
      <c r="K72" s="651"/>
    </row>
    <row r="73" spans="3:12" x14ac:dyDescent="0.3">
      <c r="C73" s="643" t="s">
        <v>4775</v>
      </c>
      <c r="D73" s="644"/>
      <c r="E73" s="644"/>
      <c r="F73" s="644"/>
      <c r="G73" s="644"/>
      <c r="H73" s="644"/>
      <c r="I73" s="644"/>
      <c r="J73" s="644"/>
      <c r="K73" s="645"/>
    </row>
    <row r="74" spans="3:12" ht="30" customHeight="1" x14ac:dyDescent="0.3">
      <c r="C74" s="521" t="s">
        <v>3994</v>
      </c>
      <c r="D74" s="694"/>
      <c r="E74" s="694"/>
      <c r="F74" s="522"/>
      <c r="G74" s="780" t="b">
        <v>1</v>
      </c>
      <c r="H74" s="781"/>
      <c r="I74" s="781"/>
      <c r="J74" s="781"/>
      <c r="K74" s="782"/>
      <c r="L74" s="17"/>
    </row>
    <row r="75" spans="3:12" x14ac:dyDescent="0.3">
      <c r="C75" s="509" t="s">
        <v>3807</v>
      </c>
      <c r="D75" s="510"/>
      <c r="E75" s="510"/>
      <c r="F75" s="510"/>
      <c r="G75" s="750" t="b">
        <v>0</v>
      </c>
      <c r="H75" s="750"/>
      <c r="I75" s="750"/>
      <c r="J75" s="750"/>
      <c r="K75" s="751"/>
      <c r="L75" s="17" t="str" cm="1">
        <f t="array" ref="L75">IF(AND(G75=TRUE,D80:K119=""),"OK",IF(AND(OR(D80:K119&lt;&gt;""),G75=TRUE),"VALUE INCONSISTENCY",""))</f>
        <v/>
      </c>
    </row>
    <row r="76" spans="3:12" x14ac:dyDescent="0.3">
      <c r="C76" s="509" t="s">
        <v>3806</v>
      </c>
      <c r="D76" s="510"/>
      <c r="E76" s="510"/>
      <c r="F76" s="510"/>
      <c r="G76" s="746"/>
      <c r="H76" s="657"/>
      <c r="I76" s="657"/>
      <c r="J76" s="657"/>
      <c r="K76" s="747"/>
      <c r="L76" s="17" t="str">
        <f>IF(G75=TRUE,
   IF(G76="",
      "MISSING VALUE",
      IF(OR(LEFT(G76,7)="http://", LEFT(G76,8)="https://", LEFT(G76,4)="www."),
         "OK",
         "INVALID URL")),
   "")</f>
        <v/>
      </c>
    </row>
    <row r="77" spans="3:12" x14ac:dyDescent="0.3">
      <c r="C77" s="772" t="s">
        <v>3800</v>
      </c>
      <c r="D77" s="773"/>
      <c r="E77" s="773"/>
      <c r="F77" s="773"/>
      <c r="G77" s="773"/>
      <c r="H77" s="773"/>
      <c r="I77" s="773"/>
      <c r="J77" s="773"/>
      <c r="K77" s="774"/>
    </row>
    <row r="78" spans="3:12" x14ac:dyDescent="0.3">
      <c r="C78" s="695" t="s">
        <v>2782</v>
      </c>
      <c r="D78" s="696"/>
      <c r="E78" s="696"/>
      <c r="F78" s="696"/>
      <c r="G78" s="696"/>
      <c r="H78" s="696"/>
      <c r="I78" s="696"/>
      <c r="J78" s="696"/>
      <c r="K78" s="697"/>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40" t="s">
        <v>20</v>
      </c>
      <c r="D79" s="749" t="s">
        <v>4018</v>
      </c>
      <c r="E79" s="749"/>
      <c r="F79" s="749"/>
      <c r="G79" s="749" t="s">
        <v>3799</v>
      </c>
      <c r="H79" s="749"/>
      <c r="I79" s="749"/>
      <c r="J79" s="6" t="s">
        <v>3801</v>
      </c>
      <c r="K79" s="130" t="s">
        <v>3802</v>
      </c>
    </row>
    <row r="80" spans="3:12" x14ac:dyDescent="0.3">
      <c r="C80" s="4">
        <v>1</v>
      </c>
      <c r="D80" s="657" t="s">
        <v>2749</v>
      </c>
      <c r="E80" s="657"/>
      <c r="F80" s="657"/>
      <c r="G80" s="631">
        <v>567</v>
      </c>
      <c r="H80" s="632"/>
      <c r="I80" s="633"/>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4">
        <v>2</v>
      </c>
      <c r="D81" s="657" t="s">
        <v>2746</v>
      </c>
      <c r="E81" s="657"/>
      <c r="F81" s="657"/>
      <c r="G81" s="631"/>
      <c r="H81" s="632"/>
      <c r="I81" s="633"/>
      <c r="J81" s="320"/>
      <c r="K81" s="322">
        <v>67</v>
      </c>
      <c r="L81" s="17"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5">
        <v>3</v>
      </c>
      <c r="D82" s="888" t="s">
        <v>2740</v>
      </c>
      <c r="E82" s="888"/>
      <c r="F82" s="888"/>
      <c r="G82" s="884"/>
      <c r="H82" s="885"/>
      <c r="I82" s="886"/>
      <c r="J82" s="323">
        <v>567</v>
      </c>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outlineLevel="1" x14ac:dyDescent="0.3">
      <c r="C83" s="13">
        <v>4</v>
      </c>
      <c r="D83" s="817"/>
      <c r="E83" s="817"/>
      <c r="F83" s="817"/>
      <c r="G83" s="887"/>
      <c r="H83" s="887"/>
      <c r="I83" s="887"/>
      <c r="J83" s="325"/>
      <c r="K83" s="326"/>
      <c r="L83" s="17" t="str">
        <f t="shared" si="3"/>
        <v/>
      </c>
    </row>
    <row r="84" spans="3:12" outlineLevel="1" x14ac:dyDescent="0.3">
      <c r="C84" s="4">
        <v>5</v>
      </c>
      <c r="D84" s="657"/>
      <c r="E84" s="657"/>
      <c r="F84" s="657"/>
      <c r="G84" s="661"/>
      <c r="H84" s="661"/>
      <c r="I84" s="661"/>
      <c r="J84" s="320"/>
      <c r="K84" s="322"/>
      <c r="L84" s="17" t="str">
        <f t="shared" si="3"/>
        <v/>
      </c>
    </row>
    <row r="85" spans="3:12" outlineLevel="1" x14ac:dyDescent="0.3">
      <c r="C85" s="4">
        <v>6</v>
      </c>
      <c r="D85" s="657"/>
      <c r="E85" s="657"/>
      <c r="F85" s="657"/>
      <c r="G85" s="661"/>
      <c r="H85" s="661"/>
      <c r="I85" s="661"/>
      <c r="J85" s="320"/>
      <c r="K85" s="322"/>
      <c r="L85" s="17" t="str">
        <f t="shared" si="3"/>
        <v/>
      </c>
    </row>
    <row r="86" spans="3:12" outlineLevel="1" x14ac:dyDescent="0.3">
      <c r="C86" s="4">
        <v>7</v>
      </c>
      <c r="D86" s="657"/>
      <c r="E86" s="657"/>
      <c r="F86" s="657"/>
      <c r="G86" s="661"/>
      <c r="H86" s="661"/>
      <c r="I86" s="661"/>
      <c r="J86" s="320"/>
      <c r="K86" s="322"/>
      <c r="L86" s="17" t="str">
        <f t="shared" si="3"/>
        <v/>
      </c>
    </row>
    <row r="87" spans="3:12" outlineLevel="1" x14ac:dyDescent="0.3">
      <c r="C87" s="4">
        <v>8</v>
      </c>
      <c r="D87" s="657"/>
      <c r="E87" s="657"/>
      <c r="F87" s="657"/>
      <c r="G87" s="661"/>
      <c r="H87" s="661"/>
      <c r="I87" s="661"/>
      <c r="J87" s="320"/>
      <c r="K87" s="322"/>
      <c r="L87" s="17" t="str">
        <f t="shared" si="3"/>
        <v/>
      </c>
    </row>
    <row r="88" spans="3:12" outlineLevel="1" x14ac:dyDescent="0.3">
      <c r="C88" s="4">
        <v>9</v>
      </c>
      <c r="D88" s="657"/>
      <c r="E88" s="657"/>
      <c r="F88" s="657"/>
      <c r="G88" s="661"/>
      <c r="H88" s="661"/>
      <c r="I88" s="661"/>
      <c r="J88" s="320"/>
      <c r="K88" s="322"/>
      <c r="L88" s="17" t="str">
        <f t="shared" si="3"/>
        <v/>
      </c>
    </row>
    <row r="89" spans="3:12" outlineLevel="1" x14ac:dyDescent="0.3">
      <c r="C89" s="4">
        <v>10</v>
      </c>
      <c r="D89" s="657"/>
      <c r="E89" s="657"/>
      <c r="F89" s="657"/>
      <c r="G89" s="661"/>
      <c r="H89" s="661"/>
      <c r="I89" s="661"/>
      <c r="J89" s="320"/>
      <c r="K89" s="322"/>
      <c r="L89" s="17" t="str">
        <f t="shared" si="3"/>
        <v/>
      </c>
    </row>
    <row r="90" spans="3:12" outlineLevel="1" x14ac:dyDescent="0.3">
      <c r="C90" s="4">
        <v>11</v>
      </c>
      <c r="D90" s="657"/>
      <c r="E90" s="657"/>
      <c r="F90" s="657"/>
      <c r="G90" s="661"/>
      <c r="H90" s="661"/>
      <c r="I90" s="661"/>
      <c r="J90" s="320"/>
      <c r="K90" s="322"/>
      <c r="L90" s="17" t="str">
        <f t="shared" si="3"/>
        <v/>
      </c>
    </row>
    <row r="91" spans="3:12" outlineLevel="1" x14ac:dyDescent="0.3">
      <c r="C91" s="4">
        <v>12</v>
      </c>
      <c r="D91" s="657"/>
      <c r="E91" s="657"/>
      <c r="F91" s="657"/>
      <c r="G91" s="661"/>
      <c r="H91" s="661"/>
      <c r="I91" s="661"/>
      <c r="J91" s="320"/>
      <c r="K91" s="322"/>
      <c r="L91" s="17" t="str">
        <f t="shared" si="3"/>
        <v/>
      </c>
    </row>
    <row r="92" spans="3:12" outlineLevel="1" x14ac:dyDescent="0.3">
      <c r="C92" s="4">
        <v>13</v>
      </c>
      <c r="D92" s="657"/>
      <c r="E92" s="657"/>
      <c r="F92" s="657"/>
      <c r="G92" s="661"/>
      <c r="H92" s="661"/>
      <c r="I92" s="661"/>
      <c r="J92" s="320"/>
      <c r="K92" s="322"/>
      <c r="L92" s="17" t="str">
        <f t="shared" si="3"/>
        <v/>
      </c>
    </row>
    <row r="93" spans="3:12" outlineLevel="1" x14ac:dyDescent="0.3">
      <c r="C93" s="4">
        <v>14</v>
      </c>
      <c r="D93" s="657"/>
      <c r="E93" s="657"/>
      <c r="F93" s="657"/>
      <c r="G93" s="661"/>
      <c r="H93" s="661"/>
      <c r="I93" s="661"/>
      <c r="J93" s="320"/>
      <c r="K93" s="322"/>
      <c r="L93" s="17" t="str">
        <f t="shared" si="3"/>
        <v/>
      </c>
    </row>
    <row r="94" spans="3:12" outlineLevel="1" x14ac:dyDescent="0.3">
      <c r="C94" s="4">
        <v>15</v>
      </c>
      <c r="D94" s="657"/>
      <c r="E94" s="657"/>
      <c r="F94" s="657"/>
      <c r="G94" s="661"/>
      <c r="H94" s="661"/>
      <c r="I94" s="661"/>
      <c r="J94" s="320"/>
      <c r="K94" s="322"/>
      <c r="L94" s="17" t="str">
        <f t="shared" si="3"/>
        <v/>
      </c>
    </row>
    <row r="95" spans="3:12" outlineLevel="1" x14ac:dyDescent="0.3">
      <c r="C95" s="4">
        <v>16</v>
      </c>
      <c r="D95" s="657"/>
      <c r="E95" s="657"/>
      <c r="F95" s="657"/>
      <c r="G95" s="661"/>
      <c r="H95" s="661"/>
      <c r="I95" s="661"/>
      <c r="J95" s="320"/>
      <c r="K95" s="322"/>
      <c r="L95" s="17" t="str">
        <f t="shared" si="3"/>
        <v/>
      </c>
    </row>
    <row r="96" spans="3:12" outlineLevel="1" x14ac:dyDescent="0.3">
      <c r="C96" s="4">
        <v>17</v>
      </c>
      <c r="D96" s="657"/>
      <c r="E96" s="657"/>
      <c r="F96" s="657"/>
      <c r="G96" s="661"/>
      <c r="H96" s="661"/>
      <c r="I96" s="661"/>
      <c r="J96" s="320"/>
      <c r="K96" s="322"/>
      <c r="L96" s="17" t="str">
        <f t="shared" si="3"/>
        <v/>
      </c>
    </row>
    <row r="97" spans="3:13" outlineLevel="1" x14ac:dyDescent="0.3">
      <c r="C97" s="4">
        <v>18</v>
      </c>
      <c r="D97" s="657"/>
      <c r="E97" s="657"/>
      <c r="F97" s="657"/>
      <c r="G97" s="661"/>
      <c r="H97" s="661"/>
      <c r="I97" s="661"/>
      <c r="J97" s="320"/>
      <c r="K97" s="322"/>
      <c r="L97" s="17" t="str">
        <f t="shared" si="3"/>
        <v/>
      </c>
    </row>
    <row r="98" spans="3:13" outlineLevel="1" x14ac:dyDescent="0.3">
      <c r="C98" s="4">
        <v>19</v>
      </c>
      <c r="D98" s="657"/>
      <c r="E98" s="657"/>
      <c r="F98" s="657"/>
      <c r="G98" s="661"/>
      <c r="H98" s="661"/>
      <c r="I98" s="661"/>
      <c r="J98" s="320"/>
      <c r="K98" s="322"/>
      <c r="L98" s="17" t="str">
        <f t="shared" si="3"/>
        <v/>
      </c>
    </row>
    <row r="99" spans="3:13" outlineLevel="1" x14ac:dyDescent="0.3">
      <c r="C99" s="4">
        <v>20</v>
      </c>
      <c r="D99" s="657"/>
      <c r="E99" s="657"/>
      <c r="F99" s="657"/>
      <c r="G99" s="661"/>
      <c r="H99" s="661"/>
      <c r="I99" s="661"/>
      <c r="J99" s="320"/>
      <c r="K99" s="322"/>
      <c r="L99" s="17" t="str">
        <f t="shared" si="3"/>
        <v/>
      </c>
    </row>
    <row r="100" spans="3:13" outlineLevel="1" x14ac:dyDescent="0.3">
      <c r="C100" s="4">
        <v>21</v>
      </c>
      <c r="D100" s="657"/>
      <c r="E100" s="657"/>
      <c r="F100" s="657"/>
      <c r="G100" s="661"/>
      <c r="H100" s="661"/>
      <c r="I100" s="661"/>
      <c r="J100" s="320"/>
      <c r="K100" s="322"/>
      <c r="L100" s="17" t="str">
        <f t="shared" si="3"/>
        <v/>
      </c>
    </row>
    <row r="101" spans="3:13" outlineLevel="1" x14ac:dyDescent="0.3">
      <c r="C101" s="4">
        <v>22</v>
      </c>
      <c r="D101" s="657"/>
      <c r="E101" s="657"/>
      <c r="F101" s="657"/>
      <c r="G101" s="661"/>
      <c r="H101" s="661"/>
      <c r="I101" s="661"/>
      <c r="J101" s="320"/>
      <c r="K101" s="322"/>
      <c r="L101" s="17" t="str">
        <f t="shared" si="3"/>
        <v/>
      </c>
    </row>
    <row r="102" spans="3:13" outlineLevel="1" x14ac:dyDescent="0.3">
      <c r="C102" s="4">
        <v>23</v>
      </c>
      <c r="D102" s="657"/>
      <c r="E102" s="657"/>
      <c r="F102" s="657"/>
      <c r="G102" s="661"/>
      <c r="H102" s="661"/>
      <c r="I102" s="661"/>
      <c r="J102" s="320"/>
      <c r="K102" s="322"/>
      <c r="L102" s="17" t="str">
        <f t="shared" si="3"/>
        <v/>
      </c>
    </row>
    <row r="103" spans="3:13" outlineLevel="1" x14ac:dyDescent="0.3">
      <c r="C103" s="4">
        <v>24</v>
      </c>
      <c r="D103" s="657"/>
      <c r="E103" s="657"/>
      <c r="F103" s="657"/>
      <c r="G103" s="661"/>
      <c r="H103" s="661"/>
      <c r="I103" s="661"/>
      <c r="J103" s="320"/>
      <c r="K103" s="322"/>
      <c r="L103" s="17" t="str">
        <f t="shared" si="3"/>
        <v/>
      </c>
    </row>
    <row r="104" spans="3:13" outlineLevel="1" x14ac:dyDescent="0.3">
      <c r="C104" s="4">
        <v>25</v>
      </c>
      <c r="D104" s="657"/>
      <c r="E104" s="657"/>
      <c r="F104" s="657"/>
      <c r="G104" s="661"/>
      <c r="H104" s="661"/>
      <c r="I104" s="661"/>
      <c r="J104" s="320"/>
      <c r="K104" s="322"/>
      <c r="L104" s="17" t="str">
        <f t="shared" si="3"/>
        <v/>
      </c>
    </row>
    <row r="105" spans="3:13" outlineLevel="1" x14ac:dyDescent="0.3">
      <c r="C105" s="4">
        <v>26</v>
      </c>
      <c r="D105" s="657"/>
      <c r="E105" s="657"/>
      <c r="F105" s="657"/>
      <c r="G105" s="661"/>
      <c r="H105" s="661"/>
      <c r="I105" s="661"/>
      <c r="J105" s="320"/>
      <c r="K105" s="322"/>
      <c r="L105" s="17" t="str">
        <f t="shared" si="3"/>
        <v/>
      </c>
    </row>
    <row r="106" spans="3:13" outlineLevel="1" x14ac:dyDescent="0.3">
      <c r="C106" s="4">
        <v>27</v>
      </c>
      <c r="D106" s="657"/>
      <c r="E106" s="657"/>
      <c r="F106" s="657"/>
      <c r="G106" s="661"/>
      <c r="H106" s="661"/>
      <c r="I106" s="661"/>
      <c r="J106" s="320"/>
      <c r="K106" s="322"/>
      <c r="L106" s="17" t="str">
        <f t="shared" si="3"/>
        <v/>
      </c>
    </row>
    <row r="107" spans="3:13" outlineLevel="1" x14ac:dyDescent="0.3">
      <c r="C107" s="4">
        <v>28</v>
      </c>
      <c r="D107" s="657"/>
      <c r="E107" s="657"/>
      <c r="F107" s="657"/>
      <c r="G107" s="661"/>
      <c r="H107" s="661"/>
      <c r="I107" s="661"/>
      <c r="J107" s="320"/>
      <c r="K107" s="322"/>
      <c r="L107" s="17" t="str">
        <f t="shared" si="3"/>
        <v/>
      </c>
    </row>
    <row r="108" spans="3:13" outlineLevel="1" x14ac:dyDescent="0.3">
      <c r="C108" s="4">
        <v>29</v>
      </c>
      <c r="D108" s="657"/>
      <c r="E108" s="657"/>
      <c r="F108" s="657"/>
      <c r="G108" s="661"/>
      <c r="H108" s="661"/>
      <c r="I108" s="661"/>
      <c r="J108" s="320"/>
      <c r="K108" s="322"/>
      <c r="L108" s="17" t="str">
        <f t="shared" si="3"/>
        <v/>
      </c>
      <c r="M108" s="141"/>
    </row>
    <row r="109" spans="3:13" outlineLevel="1" x14ac:dyDescent="0.3">
      <c r="C109" s="4">
        <v>30</v>
      </c>
      <c r="D109" s="657"/>
      <c r="E109" s="657"/>
      <c r="F109" s="657"/>
      <c r="G109" s="661"/>
      <c r="H109" s="661"/>
      <c r="I109" s="661"/>
      <c r="J109" s="320"/>
      <c r="K109" s="322"/>
      <c r="L109" s="17" t="str">
        <f t="shared" si="3"/>
        <v/>
      </c>
    </row>
    <row r="110" spans="3:13" outlineLevel="1" x14ac:dyDescent="0.3">
      <c r="C110" s="4">
        <v>31</v>
      </c>
      <c r="D110" s="657"/>
      <c r="E110" s="657"/>
      <c r="F110" s="657"/>
      <c r="G110" s="661"/>
      <c r="H110" s="661"/>
      <c r="I110" s="661"/>
      <c r="J110" s="320"/>
      <c r="K110" s="322"/>
      <c r="L110" s="17" t="str">
        <f t="shared" si="3"/>
        <v/>
      </c>
    </row>
    <row r="111" spans="3:13" outlineLevel="1" x14ac:dyDescent="0.3">
      <c r="C111" s="4">
        <v>32</v>
      </c>
      <c r="D111" s="657"/>
      <c r="E111" s="657"/>
      <c r="F111" s="657"/>
      <c r="G111" s="661"/>
      <c r="H111" s="661"/>
      <c r="I111" s="661"/>
      <c r="J111" s="320"/>
      <c r="K111" s="322"/>
      <c r="L111" s="17" t="str">
        <f t="shared" si="3"/>
        <v/>
      </c>
    </row>
    <row r="112" spans="3:13" outlineLevel="1" x14ac:dyDescent="0.3">
      <c r="C112" s="4">
        <v>33</v>
      </c>
      <c r="D112" s="657"/>
      <c r="E112" s="657"/>
      <c r="F112" s="657"/>
      <c r="G112" s="661"/>
      <c r="H112" s="661"/>
      <c r="I112" s="661"/>
      <c r="J112" s="320"/>
      <c r="K112" s="322"/>
      <c r="L112" s="17" t="str">
        <f t="shared" si="3"/>
        <v/>
      </c>
    </row>
    <row r="113" spans="3:12" outlineLevel="1" x14ac:dyDescent="0.3">
      <c r="C113" s="4">
        <v>34</v>
      </c>
      <c r="D113" s="657"/>
      <c r="E113" s="657"/>
      <c r="F113" s="657"/>
      <c r="G113" s="661"/>
      <c r="H113" s="661"/>
      <c r="I113" s="661"/>
      <c r="J113" s="320"/>
      <c r="K113" s="322"/>
      <c r="L113" s="17" t="str">
        <f t="shared" si="3"/>
        <v/>
      </c>
    </row>
    <row r="114" spans="3:12" outlineLevel="1" x14ac:dyDescent="0.3">
      <c r="C114" s="4">
        <v>35</v>
      </c>
      <c r="D114" s="657"/>
      <c r="E114" s="657"/>
      <c r="F114" s="657"/>
      <c r="G114" s="661"/>
      <c r="H114" s="661"/>
      <c r="I114" s="661"/>
      <c r="J114" s="320"/>
      <c r="K114" s="322"/>
      <c r="L114" s="17" t="str">
        <f t="shared" si="3"/>
        <v/>
      </c>
    </row>
    <row r="115" spans="3:12" outlineLevel="1" x14ac:dyDescent="0.3">
      <c r="C115" s="4">
        <v>36</v>
      </c>
      <c r="D115" s="657"/>
      <c r="E115" s="657"/>
      <c r="F115" s="657"/>
      <c r="G115" s="661"/>
      <c r="H115" s="661"/>
      <c r="I115" s="661"/>
      <c r="J115" s="320"/>
      <c r="K115" s="322"/>
      <c r="L115" s="17" t="str">
        <f t="shared" si="3"/>
        <v/>
      </c>
    </row>
    <row r="116" spans="3:12" outlineLevel="1" x14ac:dyDescent="0.3">
      <c r="C116" s="4">
        <v>37</v>
      </c>
      <c r="D116" s="657"/>
      <c r="E116" s="657"/>
      <c r="F116" s="657"/>
      <c r="G116" s="661"/>
      <c r="H116" s="661"/>
      <c r="I116" s="661"/>
      <c r="J116" s="320"/>
      <c r="K116" s="322"/>
      <c r="L116" s="17" t="str">
        <f t="shared" si="3"/>
        <v/>
      </c>
    </row>
    <row r="117" spans="3:12" outlineLevel="1" x14ac:dyDescent="0.3">
      <c r="C117" s="4">
        <v>38</v>
      </c>
      <c r="D117" s="657"/>
      <c r="E117" s="657"/>
      <c r="F117" s="657"/>
      <c r="G117" s="661"/>
      <c r="H117" s="661"/>
      <c r="I117" s="661"/>
      <c r="J117" s="320"/>
      <c r="K117" s="322"/>
      <c r="L117" s="17" t="str">
        <f t="shared" si="3"/>
        <v/>
      </c>
    </row>
    <row r="118" spans="3:12" outlineLevel="1" x14ac:dyDescent="0.3">
      <c r="C118" s="4">
        <v>39</v>
      </c>
      <c r="D118" s="657"/>
      <c r="E118" s="657"/>
      <c r="F118" s="657"/>
      <c r="G118" s="661"/>
      <c r="H118" s="661"/>
      <c r="I118" s="661"/>
      <c r="J118" s="320"/>
      <c r="K118" s="322"/>
      <c r="L118" s="17" t="str">
        <f t="shared" si="3"/>
        <v/>
      </c>
    </row>
    <row r="119" spans="3:12" ht="15" outlineLevel="1" thickBot="1" x14ac:dyDescent="0.35">
      <c r="C119" s="4">
        <v>40</v>
      </c>
      <c r="D119" s="657"/>
      <c r="E119" s="657"/>
      <c r="F119" s="657"/>
      <c r="G119" s="707"/>
      <c r="H119" s="707"/>
      <c r="I119" s="707"/>
      <c r="J119" s="323"/>
      <c r="K119" s="327"/>
      <c r="L119" s="17" t="str">
        <f t="shared" si="3"/>
        <v/>
      </c>
    </row>
    <row r="120" spans="3:12" ht="15" thickBot="1" x14ac:dyDescent="0.35">
      <c r="C120" s="142"/>
      <c r="D120" s="142"/>
      <c r="E120" s="14"/>
      <c r="F120" s="14"/>
      <c r="G120" s="14"/>
      <c r="H120" s="14"/>
      <c r="I120" s="14"/>
      <c r="J120" s="14"/>
      <c r="K120" s="14"/>
    </row>
    <row r="121" spans="3:12" x14ac:dyDescent="0.3">
      <c r="C121" s="787" t="str">
        <f>"B5 - Sites in biodiversity sensitive areas " &amp; template_reporting_period_display &amp; " [If applicable]"</f>
        <v>B5 - Sites in biodiversity sensitive areas from 01/01/2024 to 31/12/2024 [If applicable]</v>
      </c>
      <c r="D121" s="787"/>
      <c r="E121" s="787"/>
      <c r="F121" s="787"/>
      <c r="G121" s="787"/>
      <c r="H121" s="787"/>
      <c r="I121" s="787"/>
      <c r="J121" s="787"/>
      <c r="K121" s="788"/>
    </row>
    <row r="122" spans="3:12" x14ac:dyDescent="0.3">
      <c r="C122" s="529">
        <v>33</v>
      </c>
      <c r="D122" s="529"/>
      <c r="E122" s="529"/>
      <c r="F122" s="529"/>
      <c r="G122" s="529"/>
      <c r="H122" s="529"/>
      <c r="I122" s="529"/>
      <c r="J122" s="529"/>
      <c r="K122" s="698"/>
    </row>
    <row r="123" spans="3:12" x14ac:dyDescent="0.3">
      <c r="C123" s="526" t="s">
        <v>4776</v>
      </c>
      <c r="D123" s="526"/>
      <c r="E123" s="526"/>
      <c r="F123" s="526"/>
      <c r="G123" s="526"/>
      <c r="H123" s="526"/>
      <c r="I123" s="526"/>
      <c r="J123" s="526"/>
      <c r="K123" s="789"/>
    </row>
    <row r="124" spans="3:12" x14ac:dyDescent="0.3">
      <c r="C124" s="711" t="s">
        <v>3995</v>
      </c>
      <c r="D124" s="712"/>
      <c r="E124" s="712"/>
      <c r="F124" s="712"/>
      <c r="G124" s="713" t="b">
        <v>1</v>
      </c>
      <c r="H124" s="714"/>
      <c r="I124" s="714"/>
      <c r="J124" s="714"/>
      <c r="K124" s="715"/>
    </row>
    <row r="125" spans="3:12" x14ac:dyDescent="0.3">
      <c r="C125" s="699" t="s">
        <v>3797</v>
      </c>
      <c r="D125" s="700"/>
      <c r="E125" s="700"/>
      <c r="F125" s="700"/>
      <c r="G125" s="700"/>
      <c r="H125" s="700"/>
      <c r="I125" s="700"/>
      <c r="J125" s="700"/>
      <c r="K125" s="701"/>
    </row>
    <row r="126" spans="3:12" ht="15" thickBot="1" x14ac:dyDescent="0.35">
      <c r="C126" s="695" t="s">
        <v>4829</v>
      </c>
      <c r="D126" s="696"/>
      <c r="E126" s="696"/>
      <c r="F126" s="696"/>
      <c r="G126" s="696"/>
      <c r="H126" s="696"/>
      <c r="I126" s="696"/>
      <c r="J126" s="696"/>
      <c r="K126" s="697"/>
      <c r="L126" s="18" t="str">
        <f>IF(AND(G124=TRUE,C126=""),"MISSING VALUE",IF(AND(G124=TRUE,C126&lt;&gt;""),"OK",""))</f>
        <v>OK</v>
      </c>
    </row>
    <row r="127" spans="3:12" ht="57.6" customHeight="1" x14ac:dyDescent="0.3">
      <c r="C127" s="143" t="s">
        <v>4477</v>
      </c>
      <c r="D127" s="704" t="s">
        <v>4481</v>
      </c>
      <c r="E127" s="705"/>
      <c r="F127" s="706"/>
      <c r="G127" s="704" t="s">
        <v>3795</v>
      </c>
      <c r="H127" s="705"/>
      <c r="I127" s="706"/>
      <c r="J127" s="268" t="s">
        <v>3632</v>
      </c>
      <c r="K127" s="269" t="s">
        <v>3633</v>
      </c>
    </row>
    <row r="128" spans="3:12" x14ac:dyDescent="0.3">
      <c r="C128" s="260">
        <v>1</v>
      </c>
      <c r="D128" s="814"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815"/>
      <c r="F128" s="816"/>
      <c r="G128" s="662">
        <v>1200</v>
      </c>
      <c r="H128" s="663"/>
      <c r="I128" s="663"/>
      <c r="J128" s="273" t="b">
        <v>1</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1"/>
      <c r="D129" s="669"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70"/>
      <c r="F129" s="671"/>
      <c r="G129" s="662"/>
      <c r="H129" s="663"/>
      <c r="I129" s="663"/>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845"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46"/>
      <c r="F130" s="847"/>
      <c r="G130" s="790"/>
      <c r="H130" s="790"/>
      <c r="I130" s="790"/>
      <c r="J130" s="274" t="b">
        <v>0</v>
      </c>
      <c r="K130" s="272" t="b">
        <v>0</v>
      </c>
      <c r="L130" s="18" t="str">
        <f t="shared" si="4"/>
        <v/>
      </c>
    </row>
    <row r="131" spans="3:17" hidden="1" outlineLevel="1" x14ac:dyDescent="0.3">
      <c r="C131" s="261"/>
      <c r="D131" s="881"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82"/>
      <c r="F131" s="883"/>
      <c r="G131" s="791"/>
      <c r="H131" s="792"/>
      <c r="I131" s="793"/>
      <c r="J131" s="275" t="b">
        <v>0</v>
      </c>
      <c r="K131" s="270" t="b">
        <v>0</v>
      </c>
      <c r="L131" s="18" t="str">
        <f t="shared" si="4"/>
        <v/>
      </c>
      <c r="M131" s="10"/>
      <c r="N131" s="10"/>
      <c r="O131" s="10"/>
      <c r="P131" s="10"/>
      <c r="Q131" s="10"/>
    </row>
    <row r="132" spans="3:17" hidden="1" outlineLevel="1" x14ac:dyDescent="0.3">
      <c r="C132" s="261"/>
      <c r="D132" s="669"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70"/>
      <c r="F132" s="671"/>
      <c r="G132" s="662"/>
      <c r="H132" s="663"/>
      <c r="I132" s="664"/>
      <c r="J132" s="276" t="b">
        <v>0</v>
      </c>
      <c r="K132" s="271" t="b">
        <v>0</v>
      </c>
      <c r="L132" s="18" t="str">
        <f t="shared" si="4"/>
        <v/>
      </c>
      <c r="M132" s="10"/>
      <c r="N132" s="10"/>
      <c r="O132" s="10"/>
      <c r="P132" s="10"/>
      <c r="Q132" s="10"/>
    </row>
    <row r="133" spans="3:17" hidden="1" outlineLevel="1" x14ac:dyDescent="0.3">
      <c r="C133" s="261"/>
      <c r="D133" s="669"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70"/>
      <c r="F133" s="671"/>
      <c r="G133" s="662"/>
      <c r="H133" s="663"/>
      <c r="I133" s="664"/>
      <c r="J133" s="276" t="b">
        <v>0</v>
      </c>
      <c r="K133" s="271" t="b">
        <v>0</v>
      </c>
      <c r="L133" s="18" t="str">
        <f t="shared" si="4"/>
        <v/>
      </c>
      <c r="M133" s="10"/>
      <c r="N133" s="10"/>
      <c r="O133" s="10"/>
      <c r="P133" s="10"/>
      <c r="Q133" s="10"/>
    </row>
    <row r="134" spans="3:17" hidden="1" outlineLevel="1" x14ac:dyDescent="0.3">
      <c r="C134" s="261"/>
      <c r="D134" s="669"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70"/>
      <c r="F134" s="671"/>
      <c r="G134" s="662"/>
      <c r="H134" s="663"/>
      <c r="I134" s="664"/>
      <c r="J134" s="276" t="b">
        <v>0</v>
      </c>
      <c r="K134" s="271" t="b">
        <v>0</v>
      </c>
      <c r="L134" s="18" t="str">
        <f t="shared" si="4"/>
        <v/>
      </c>
      <c r="M134" s="10"/>
      <c r="N134" s="10"/>
      <c r="O134" s="10"/>
      <c r="P134" s="10"/>
      <c r="Q134" s="10"/>
    </row>
    <row r="135" spans="3:17" hidden="1" outlineLevel="1" x14ac:dyDescent="0.3">
      <c r="C135" s="261"/>
      <c r="D135" s="669"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70"/>
      <c r="F135" s="671"/>
      <c r="G135" s="662"/>
      <c r="H135" s="663"/>
      <c r="I135" s="664"/>
      <c r="J135" s="276" t="b">
        <v>0</v>
      </c>
      <c r="K135" s="271" t="b">
        <v>0</v>
      </c>
      <c r="L135" s="18" t="str">
        <f t="shared" si="4"/>
        <v/>
      </c>
      <c r="M135" s="10"/>
      <c r="N135" s="10"/>
      <c r="O135" s="10"/>
      <c r="P135" s="10"/>
      <c r="Q135" s="10"/>
    </row>
    <row r="136" spans="3:17" hidden="1" outlineLevel="1" x14ac:dyDescent="0.3">
      <c r="C136" s="261"/>
      <c r="D136" s="669"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70"/>
      <c r="F136" s="671"/>
      <c r="G136" s="662"/>
      <c r="H136" s="663"/>
      <c r="I136" s="664"/>
      <c r="J136" s="276" t="b">
        <v>0</v>
      </c>
      <c r="K136" s="271" t="b">
        <v>0</v>
      </c>
      <c r="L136" s="18" t="str">
        <f t="shared" si="4"/>
        <v/>
      </c>
      <c r="M136" s="10"/>
      <c r="N136" s="10"/>
      <c r="O136" s="10"/>
      <c r="P136" s="10"/>
      <c r="Q136" s="10"/>
    </row>
    <row r="137" spans="3:17" hidden="1" outlineLevel="1" x14ac:dyDescent="0.3">
      <c r="C137" s="261"/>
      <c r="D137" s="669"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70"/>
      <c r="F137" s="671"/>
      <c r="G137" s="662"/>
      <c r="H137" s="663"/>
      <c r="I137" s="664"/>
      <c r="J137" s="276" t="b">
        <v>0</v>
      </c>
      <c r="K137" s="271" t="b">
        <v>0</v>
      </c>
      <c r="L137" s="18" t="str">
        <f t="shared" si="4"/>
        <v/>
      </c>
      <c r="M137" s="10"/>
      <c r="N137" s="10"/>
      <c r="O137" s="10"/>
      <c r="P137" s="10"/>
      <c r="Q137" s="10"/>
    </row>
    <row r="138" spans="3:17" hidden="1" outlineLevel="1" x14ac:dyDescent="0.3">
      <c r="C138" s="261"/>
      <c r="D138" s="669"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70"/>
      <c r="F138" s="671"/>
      <c r="G138" s="662"/>
      <c r="H138" s="663"/>
      <c r="I138" s="664"/>
      <c r="J138" s="276" t="b">
        <v>0</v>
      </c>
      <c r="K138" s="271" t="b">
        <v>0</v>
      </c>
      <c r="L138" s="18" t="str">
        <f t="shared" si="4"/>
        <v/>
      </c>
      <c r="M138" s="10"/>
      <c r="N138" s="10"/>
      <c r="O138" s="10"/>
      <c r="P138" s="10"/>
      <c r="Q138" s="10"/>
    </row>
    <row r="139" spans="3:17" hidden="1" outlineLevel="1" x14ac:dyDescent="0.3">
      <c r="C139" s="261"/>
      <c r="D139" s="669"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70"/>
      <c r="F139" s="671"/>
      <c r="G139" s="662"/>
      <c r="H139" s="663"/>
      <c r="I139" s="664"/>
      <c r="J139" s="276" t="b">
        <v>0</v>
      </c>
      <c r="K139" s="271" t="b">
        <v>0</v>
      </c>
      <c r="L139" s="18" t="str">
        <f t="shared" si="4"/>
        <v/>
      </c>
      <c r="M139" s="10"/>
      <c r="N139" s="10"/>
      <c r="O139" s="10"/>
      <c r="P139" s="10"/>
      <c r="Q139" s="10"/>
    </row>
    <row r="140" spans="3:17" hidden="1" outlineLevel="1" x14ac:dyDescent="0.3">
      <c r="C140" s="261"/>
      <c r="D140" s="669"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70"/>
      <c r="F140" s="671"/>
      <c r="G140" s="662"/>
      <c r="H140" s="663"/>
      <c r="I140" s="664"/>
      <c r="J140" s="276" t="b">
        <v>0</v>
      </c>
      <c r="K140" s="271" t="b">
        <v>0</v>
      </c>
      <c r="L140" s="18" t="str">
        <f t="shared" si="4"/>
        <v/>
      </c>
      <c r="M140" s="10"/>
      <c r="N140" s="10"/>
      <c r="O140" s="10"/>
      <c r="P140" s="10"/>
      <c r="Q140" s="10"/>
    </row>
    <row r="141" spans="3:17" hidden="1" outlineLevel="1" x14ac:dyDescent="0.3">
      <c r="C141" s="261"/>
      <c r="D141" s="669"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70"/>
      <c r="F141" s="671"/>
      <c r="G141" s="662"/>
      <c r="H141" s="663"/>
      <c r="I141" s="664"/>
      <c r="J141" s="276" t="b">
        <v>0</v>
      </c>
      <c r="K141" s="271" t="b">
        <v>0</v>
      </c>
      <c r="L141" s="18" t="str">
        <f t="shared" si="4"/>
        <v/>
      </c>
      <c r="M141" s="10"/>
      <c r="N141" s="10"/>
      <c r="O141" s="10"/>
      <c r="P141" s="10"/>
      <c r="Q141" s="10"/>
    </row>
    <row r="142" spans="3:17" hidden="1" outlineLevel="1" x14ac:dyDescent="0.3">
      <c r="C142" s="261"/>
      <c r="D142" s="669"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70"/>
      <c r="F142" s="671"/>
      <c r="G142" s="662"/>
      <c r="H142" s="663"/>
      <c r="I142" s="664"/>
      <c r="J142" s="276" t="b">
        <v>0</v>
      </c>
      <c r="K142" s="271" t="b">
        <v>0</v>
      </c>
      <c r="L142" s="18" t="str">
        <f t="shared" si="4"/>
        <v/>
      </c>
      <c r="M142" s="10"/>
      <c r="N142" s="10"/>
      <c r="O142" s="10"/>
      <c r="P142" s="10"/>
      <c r="Q142" s="10"/>
    </row>
    <row r="143" spans="3:17" hidden="1" outlineLevel="1" x14ac:dyDescent="0.3">
      <c r="C143" s="261"/>
      <c r="D143" s="669"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70"/>
      <c r="F143" s="671"/>
      <c r="G143" s="662"/>
      <c r="H143" s="663"/>
      <c r="I143" s="664"/>
      <c r="J143" s="276" t="b">
        <v>0</v>
      </c>
      <c r="K143" s="271" t="b">
        <v>0</v>
      </c>
      <c r="L143" s="18" t="str">
        <f t="shared" si="4"/>
        <v/>
      </c>
      <c r="M143" s="10"/>
      <c r="N143" s="10"/>
      <c r="O143" s="10"/>
      <c r="P143" s="10"/>
      <c r="Q143" s="10"/>
    </row>
    <row r="144" spans="3:17" hidden="1" outlineLevel="1" x14ac:dyDescent="0.3">
      <c r="C144" s="261"/>
      <c r="D144" s="669"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70"/>
      <c r="F144" s="671"/>
      <c r="G144" s="662"/>
      <c r="H144" s="663"/>
      <c r="I144" s="664"/>
      <c r="J144" s="276" t="b">
        <v>0</v>
      </c>
      <c r="K144" s="271" t="b">
        <v>0</v>
      </c>
      <c r="L144" s="18" t="str">
        <f t="shared" si="4"/>
        <v/>
      </c>
      <c r="M144" s="10"/>
      <c r="N144" s="10"/>
      <c r="O144" s="10"/>
      <c r="P144" s="10"/>
      <c r="Q144" s="10"/>
    </row>
    <row r="145" spans="3:17" hidden="1" outlineLevel="1" x14ac:dyDescent="0.3">
      <c r="C145" s="261"/>
      <c r="D145" s="669"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70"/>
      <c r="F145" s="671"/>
      <c r="G145" s="662"/>
      <c r="H145" s="663"/>
      <c r="I145" s="664"/>
      <c r="J145" s="276" t="b">
        <v>0</v>
      </c>
      <c r="K145" s="271" t="b">
        <v>0</v>
      </c>
      <c r="L145" s="18" t="str">
        <f t="shared" si="4"/>
        <v/>
      </c>
      <c r="M145" s="10"/>
      <c r="N145" s="10"/>
      <c r="O145" s="10"/>
      <c r="P145" s="10"/>
      <c r="Q145" s="10"/>
    </row>
    <row r="146" spans="3:17" hidden="1" outlineLevel="1" x14ac:dyDescent="0.3">
      <c r="C146" s="261"/>
      <c r="D146" s="669"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70"/>
      <c r="F146" s="671"/>
      <c r="G146" s="662"/>
      <c r="H146" s="663"/>
      <c r="I146" s="664"/>
      <c r="J146" s="276" t="b">
        <v>0</v>
      </c>
      <c r="K146" s="271" t="b">
        <v>0</v>
      </c>
      <c r="L146" s="18" t="str">
        <f t="shared" si="4"/>
        <v/>
      </c>
      <c r="M146" s="10"/>
      <c r="N146" s="10"/>
      <c r="O146" s="10"/>
      <c r="P146" s="10"/>
      <c r="Q146" s="10"/>
    </row>
    <row r="147" spans="3:17" hidden="1" outlineLevel="1" x14ac:dyDescent="0.3">
      <c r="C147" s="261"/>
      <c r="D147" s="669"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70"/>
      <c r="F147" s="671"/>
      <c r="G147" s="662"/>
      <c r="H147" s="663"/>
      <c r="I147" s="664"/>
      <c r="J147" s="276" t="b">
        <v>0</v>
      </c>
      <c r="K147" s="271" t="b">
        <v>0</v>
      </c>
      <c r="L147" s="18" t="str">
        <f t="shared" si="4"/>
        <v/>
      </c>
      <c r="M147" s="10"/>
      <c r="N147" s="10"/>
      <c r="O147" s="10"/>
      <c r="P147" s="10"/>
      <c r="Q147" s="10"/>
    </row>
    <row r="148" spans="3:17" hidden="1" outlineLevel="1" x14ac:dyDescent="0.3">
      <c r="C148" s="261"/>
      <c r="D148" s="669"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70"/>
      <c r="F148" s="671"/>
      <c r="G148" s="662"/>
      <c r="H148" s="663"/>
      <c r="I148" s="664"/>
      <c r="J148" s="276" t="b">
        <v>0</v>
      </c>
      <c r="K148" s="271" t="b">
        <v>0</v>
      </c>
      <c r="L148" s="18" t="str">
        <f t="shared" si="4"/>
        <v/>
      </c>
      <c r="M148" s="10"/>
      <c r="N148" s="10"/>
      <c r="O148" s="10"/>
      <c r="P148" s="10"/>
      <c r="Q148" s="10"/>
    </row>
    <row r="149" spans="3:17" hidden="1" outlineLevel="1" x14ac:dyDescent="0.3">
      <c r="C149" s="261"/>
      <c r="D149" s="669"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70"/>
      <c r="F149" s="671"/>
      <c r="G149" s="662"/>
      <c r="H149" s="663"/>
      <c r="I149" s="664"/>
      <c r="J149" s="276" t="b">
        <v>0</v>
      </c>
      <c r="K149" s="271" t="b">
        <v>0</v>
      </c>
      <c r="L149" s="18" t="str">
        <f t="shared" si="4"/>
        <v/>
      </c>
      <c r="M149" s="10"/>
      <c r="N149" s="10"/>
      <c r="O149" s="10"/>
      <c r="P149" s="10"/>
      <c r="Q149" s="10"/>
    </row>
    <row r="150" spans="3:17" hidden="1" outlineLevel="1" x14ac:dyDescent="0.3">
      <c r="C150" s="261"/>
      <c r="D150" s="669"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70"/>
      <c r="F150" s="671"/>
      <c r="G150" s="662"/>
      <c r="H150" s="663"/>
      <c r="I150" s="664"/>
      <c r="J150" s="276" t="b">
        <v>0</v>
      </c>
      <c r="K150" s="271" t="b">
        <v>0</v>
      </c>
      <c r="L150" s="18" t="str">
        <f t="shared" si="4"/>
        <v/>
      </c>
      <c r="M150" s="10"/>
      <c r="N150" s="10"/>
      <c r="O150" s="10"/>
      <c r="P150" s="10"/>
      <c r="Q150" s="10"/>
    </row>
    <row r="151" spans="3:17" hidden="1" outlineLevel="1" x14ac:dyDescent="0.3">
      <c r="C151" s="261"/>
      <c r="D151" s="669"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70"/>
      <c r="F151" s="671"/>
      <c r="G151" s="662"/>
      <c r="H151" s="663"/>
      <c r="I151" s="664"/>
      <c r="J151" s="276" t="b">
        <v>0</v>
      </c>
      <c r="K151" s="271" t="b">
        <v>0</v>
      </c>
      <c r="L151" s="18" t="str">
        <f t="shared" si="4"/>
        <v/>
      </c>
      <c r="M151" s="10"/>
      <c r="N151" s="10"/>
      <c r="O151" s="10"/>
      <c r="P151" s="10"/>
      <c r="Q151" s="10"/>
    </row>
    <row r="152" spans="3:17" hidden="1" outlineLevel="1" x14ac:dyDescent="0.3">
      <c r="C152" s="261"/>
      <c r="D152" s="669"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70"/>
      <c r="F152" s="671"/>
      <c r="G152" s="684"/>
      <c r="H152" s="663"/>
      <c r="I152" s="664"/>
      <c r="J152" s="276" t="b">
        <v>0</v>
      </c>
      <c r="K152" s="271" t="b">
        <v>0</v>
      </c>
      <c r="L152" s="18" t="str">
        <f t="shared" si="4"/>
        <v/>
      </c>
      <c r="M152" s="10"/>
      <c r="N152" s="10"/>
      <c r="O152" s="10"/>
      <c r="P152" s="10"/>
      <c r="Q152" s="10"/>
    </row>
    <row r="153" spans="3:17" ht="15" hidden="1" outlineLevel="1" thickBot="1" x14ac:dyDescent="0.35">
      <c r="C153" s="263"/>
      <c r="D153" s="669"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70"/>
      <c r="F153" s="671"/>
      <c r="G153" s="848"/>
      <c r="H153" s="790"/>
      <c r="I153" s="849"/>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613" t="str">
        <f>"B5 - Biodiversity - Land-use  " &amp; template_reporting_period_display &amp; "  [May (optional)]"</f>
        <v>B5 - Biodiversity - Land-use  from 01/01/2024 to 31/12/2024  [May (optional)]</v>
      </c>
      <c r="D155" s="614"/>
      <c r="E155" s="614"/>
      <c r="F155" s="615"/>
    </row>
    <row r="156" spans="3:17" x14ac:dyDescent="0.3">
      <c r="C156" s="529">
        <v>34</v>
      </c>
      <c r="D156" s="530"/>
      <c r="E156" s="530"/>
      <c r="F156" s="531"/>
    </row>
    <row r="157" spans="3:17" x14ac:dyDescent="0.3">
      <c r="C157" s="526" t="s">
        <v>4777</v>
      </c>
      <c r="D157" s="527"/>
      <c r="E157" s="527"/>
      <c r="F157" s="528"/>
    </row>
    <row r="158" spans="3:17" ht="16.95" customHeight="1" x14ac:dyDescent="0.3">
      <c r="C158" s="783" t="s">
        <v>3797</v>
      </c>
      <c r="D158" s="678"/>
      <c r="E158" s="678"/>
      <c r="F158" s="679"/>
    </row>
    <row r="159" spans="3:17" x14ac:dyDescent="0.3">
      <c r="C159" s="784"/>
      <c r="D159" s="785"/>
      <c r="E159" s="785"/>
      <c r="F159" s="786"/>
      <c r="G159" s="17" t="str">
        <f>IF(C159&lt;&gt;"","OK",IF(AND(OR(D161&lt;&gt;"",D162&lt;&gt;"",D163&lt;&gt;"",D164&lt;&gt;""),C159=""),"MISSING VALUE",""))</f>
        <v/>
      </c>
      <c r="H159" s="145"/>
      <c r="K159" s="17"/>
    </row>
    <row r="160" spans="3:17" x14ac:dyDescent="0.3">
      <c r="C160" s="146" t="s">
        <v>22</v>
      </c>
      <c r="D160" s="678" t="s">
        <v>4454</v>
      </c>
      <c r="E160" s="678"/>
      <c r="F160" s="679"/>
      <c r="G160" s="17"/>
      <c r="H160" s="145"/>
      <c r="K160" s="17"/>
    </row>
    <row r="161" spans="3:12" x14ac:dyDescent="0.3">
      <c r="C161" s="147" t="s">
        <v>23</v>
      </c>
      <c r="D161" s="680"/>
      <c r="E161" s="680"/>
      <c r="F161" s="681"/>
      <c r="G161" s="666" t="str">
        <f>IF(AND(G159="OK",COUNTIF(D161:F164,"&lt;&gt;")&gt;0),
"OK",
IF(AND(G159="OK",COUNTA(D161:F164)=0),
"MISSING VALUE",IF(AND(G159="MISSING VALUE",COUNTIF(D161:F164,"&lt;&gt;")&gt;0),"VALUE INCONSISTENCY",
""
)
))</f>
        <v/>
      </c>
      <c r="H161" s="148"/>
      <c r="K161" s="17"/>
    </row>
    <row r="162" spans="3:12" x14ac:dyDescent="0.3">
      <c r="C162" s="149" t="s">
        <v>24</v>
      </c>
      <c r="D162" s="672"/>
      <c r="E162" s="673"/>
      <c r="F162" s="674"/>
      <c r="G162" s="666"/>
      <c r="H162" s="148"/>
      <c r="K162" s="17"/>
    </row>
    <row r="163" spans="3:12" x14ac:dyDescent="0.3">
      <c r="C163" s="149" t="s">
        <v>25</v>
      </c>
      <c r="D163" s="672"/>
      <c r="E163" s="673"/>
      <c r="F163" s="674"/>
      <c r="G163" s="666"/>
      <c r="H163" s="148"/>
      <c r="K163" s="17"/>
    </row>
    <row r="164" spans="3:12" ht="15" thickBot="1" x14ac:dyDescent="0.35">
      <c r="C164" s="136" t="s">
        <v>26</v>
      </c>
      <c r="D164" s="675"/>
      <c r="E164" s="676"/>
      <c r="F164" s="677"/>
      <c r="G164" s="666"/>
      <c r="H164" s="148"/>
      <c r="K164" s="17"/>
    </row>
    <row r="165" spans="3:12" ht="15" thickBot="1" x14ac:dyDescent="0.35"/>
    <row r="166" spans="3:12" x14ac:dyDescent="0.3">
      <c r="C166" s="613" t="str">
        <f xml:space="preserve"> "B6 - Water Withdrawal " &amp; template_reporting_period_display &amp; " [Always to be reported]"</f>
        <v>B6 - Water Withdrawal from 01/01/2024 to 31/12/2024 [Always to be reported]</v>
      </c>
      <c r="D166" s="839"/>
      <c r="E166" s="15"/>
      <c r="F166" s="15"/>
      <c r="G166" s="17"/>
      <c r="H166" s="17"/>
      <c r="I166" s="17"/>
      <c r="K166" s="17"/>
    </row>
    <row r="167" spans="3:12" x14ac:dyDescent="0.3">
      <c r="C167" s="529">
        <v>35</v>
      </c>
      <c r="D167" s="698"/>
      <c r="E167" s="150"/>
      <c r="F167" s="150"/>
      <c r="G167" s="17"/>
      <c r="H167" s="17"/>
      <c r="I167" s="17"/>
    </row>
    <row r="168" spans="3:12" x14ac:dyDescent="0.3">
      <c r="C168" s="526" t="s">
        <v>4778</v>
      </c>
      <c r="D168" s="789"/>
      <c r="E168" s="151"/>
      <c r="F168" s="151"/>
      <c r="G168" s="17"/>
      <c r="H168" s="17"/>
      <c r="I168" s="17"/>
      <c r="K168" s="54"/>
      <c r="L168" s="54"/>
    </row>
    <row r="169" spans="3:12" x14ac:dyDescent="0.3">
      <c r="C169" s="122" t="s">
        <v>4570</v>
      </c>
      <c r="D169" s="328">
        <v>742.5</v>
      </c>
      <c r="E169" s="840" t="str">
        <f>IF(AND(OR('General Information'!E32="Option A (Basic Module only)", 'General Information'!E32="Option B (Basic Module and Comprehensive Module)"),TotalAmountOfWaterWithdrawnFromAllSites=""),"MISSING VALUE",IF('General Information'!E32="","","OK"))</f>
        <v>OK</v>
      </c>
      <c r="F169" s="841"/>
      <c r="G169" s="17"/>
      <c r="H169" s="17"/>
      <c r="I169" s="17"/>
    </row>
    <row r="170" spans="3:12" ht="15" thickBot="1" x14ac:dyDescent="0.35">
      <c r="C170" s="152" t="s">
        <v>4571</v>
      </c>
      <c r="D170" s="329">
        <v>150</v>
      </c>
      <c r="E170" s="810" t="str">
        <f>IF(AND(OR('General Information'!E32="Option A (Basic Module only)", 'General Information'!E32="Option B (Basic Module and Comprehensive Module)"),AmountOfWaterWithdrawnAtSitesLocatedInAreasOfHighWaterStress=""),"MISSING VALUE",IF('General Information'!E32="","","OK"))</f>
        <v>OK</v>
      </c>
      <c r="F170" s="811"/>
      <c r="G170" s="17"/>
      <c r="H170" s="17"/>
      <c r="I170" s="17"/>
    </row>
    <row r="171" spans="3:12" ht="15" thickBot="1" x14ac:dyDescent="0.35">
      <c r="K171" s="40"/>
    </row>
    <row r="172" spans="3:12" x14ac:dyDescent="0.3">
      <c r="C172" s="613" t="str">
        <f xml:space="preserve"> "B6 - Water Consumption " &amp; template_reporting_period_display &amp; " [If applicable]"</f>
        <v>B6 - Water Consumption from 01/01/2024 to 31/12/2024 [If applicable]</v>
      </c>
      <c r="D172" s="839"/>
      <c r="E172" s="15"/>
      <c r="F172" s="15"/>
    </row>
    <row r="173" spans="3:12" x14ac:dyDescent="0.3">
      <c r="C173" s="649">
        <v>36</v>
      </c>
      <c r="D173" s="651"/>
      <c r="E173" s="150"/>
      <c r="F173" s="150"/>
    </row>
    <row r="174" spans="3:12" x14ac:dyDescent="0.3">
      <c r="C174" s="526" t="s">
        <v>4779</v>
      </c>
      <c r="D174" s="528"/>
      <c r="E174" s="151"/>
      <c r="F174" s="151"/>
    </row>
    <row r="175" spans="3:12" ht="50.7" customHeight="1" x14ac:dyDescent="0.3">
      <c r="C175" s="154" t="s">
        <v>4823</v>
      </c>
      <c r="D175" s="169" t="b">
        <v>1</v>
      </c>
      <c r="E175" s="153"/>
      <c r="F175" s="153"/>
      <c r="G175" s="17"/>
      <c r="H175" s="17"/>
      <c r="I175" s="17"/>
    </row>
    <row r="176" spans="3:12" ht="15" thickBot="1" x14ac:dyDescent="0.35">
      <c r="C176" s="152" t="s">
        <v>4455</v>
      </c>
      <c r="D176" s="346">
        <v>100</v>
      </c>
      <c r="E176" s="811" t="str">
        <f>IF(AND(D175=TRUE,D176=""),"MISSING VALUE",IF(AND(D175=TRUE,D176&lt;&gt;""),"OK",""))</f>
        <v>OK</v>
      </c>
      <c r="F176" s="811"/>
      <c r="G176" s="17"/>
      <c r="H176" s="17"/>
      <c r="I176" s="17"/>
    </row>
    <row r="177" spans="3:13" ht="21" customHeight="1" thickBot="1" x14ac:dyDescent="0.35">
      <c r="C177" s="155" t="s">
        <v>4569</v>
      </c>
      <c r="D177" s="347">
        <f>IF(D176&lt;&gt;"",$D$169-$D$176,"-")</f>
        <v>642.5</v>
      </c>
      <c r="E177" s="156"/>
      <c r="F177" s="156"/>
    </row>
    <row r="178" spans="3:13" ht="15" thickBot="1" x14ac:dyDescent="0.35"/>
    <row r="179" spans="3:13" x14ac:dyDescent="0.3">
      <c r="C179" s="646" t="str">
        <f xml:space="preserve"> "B7 - Description of circular economy principles " &amp; template_reporting_period_display &amp; " [Always to be reported]"</f>
        <v>B7 - Description of circular economy principles from 01/01/2024 to 31/12/2024 [Always to be reported]</v>
      </c>
      <c r="D179" s="647"/>
      <c r="E179" s="812"/>
      <c r="F179" s="812"/>
      <c r="G179" s="648"/>
      <c r="H179" s="17"/>
      <c r="I179" s="17"/>
    </row>
    <row r="180" spans="3:13" x14ac:dyDescent="0.3">
      <c r="C180" s="649">
        <v>37</v>
      </c>
      <c r="D180" s="650"/>
      <c r="E180" s="813"/>
      <c r="F180" s="813"/>
      <c r="G180" s="651"/>
      <c r="H180" s="157"/>
      <c r="I180" s="157"/>
    </row>
    <row r="181" spans="3:13" x14ac:dyDescent="0.3">
      <c r="C181" s="643">
        <v>159</v>
      </c>
      <c r="D181" s="644"/>
      <c r="E181" s="571"/>
      <c r="F181" s="571"/>
      <c r="G181" s="645"/>
      <c r="H181" s="158"/>
      <c r="I181" s="158"/>
    </row>
    <row r="182" spans="3:13" x14ac:dyDescent="0.3">
      <c r="C182" s="120" t="s">
        <v>4466</v>
      </c>
      <c r="D182" s="842" t="s">
        <v>3623</v>
      </c>
      <c r="E182" s="843"/>
      <c r="F182" s="843"/>
      <c r="G182" s="844"/>
      <c r="H182" s="689" t="str">
        <f>IF(AND(OR('General Information'!E32="Option A (Basic Module only)", 'General Information'!E32="Option B (Basic Module and Comprehensive Module)"),UndertakingAppliesCircularEconomyPrinciples=""),"MISSING VALUE",IF('General Information'!E32="","","OK"))</f>
        <v>OK</v>
      </c>
      <c r="I182" s="513"/>
      <c r="J182" s="17"/>
    </row>
    <row r="183" spans="3:13" ht="15" thickBot="1" x14ac:dyDescent="0.35">
      <c r="C183" s="139" t="s">
        <v>3637</v>
      </c>
      <c r="D183" s="602"/>
      <c r="E183" s="610"/>
      <c r="F183" s="610"/>
      <c r="G183" s="603"/>
      <c r="H183" s="689" t="str">
        <f>IF(AND(D182="YES",D183=""),"MISSING VALUE",IF(AND(D182="YES",D183&lt;&gt;""),"OK",IF(AND(D182="NO",D183&lt;&gt;""),"VALUE INCONSISTENCY","")))</f>
        <v/>
      </c>
      <c r="I183" s="513"/>
      <c r="J183" s="17"/>
    </row>
    <row r="184" spans="3:13" ht="15" thickBot="1" x14ac:dyDescent="0.35"/>
    <row r="185" spans="3:13" x14ac:dyDescent="0.3">
      <c r="C185" s="646" t="str">
        <f>"B7 - Waste generated " &amp; template_reporting_period_display &amp; " [Always to be reported]"</f>
        <v>B7 - Waste generated from 01/01/2024 to 31/12/2024 [Always to be reported]</v>
      </c>
      <c r="D185" s="647"/>
      <c r="E185" s="647"/>
      <c r="F185" s="647"/>
      <c r="G185" s="647"/>
      <c r="H185" s="647"/>
      <c r="I185" s="647"/>
      <c r="J185" s="647"/>
      <c r="K185" s="647"/>
      <c r="L185" s="648"/>
    </row>
    <row r="186" spans="3:13" x14ac:dyDescent="0.3">
      <c r="C186" s="649" t="s">
        <v>4733</v>
      </c>
      <c r="D186" s="650"/>
      <c r="E186" s="650"/>
      <c r="F186" s="650"/>
      <c r="G186" s="650"/>
      <c r="H186" s="650"/>
      <c r="I186" s="650"/>
      <c r="J186" s="650"/>
      <c r="K186" s="650"/>
      <c r="L186" s="651"/>
    </row>
    <row r="187" spans="3:13" x14ac:dyDescent="0.3">
      <c r="C187" s="643" t="s">
        <v>4780</v>
      </c>
      <c r="D187" s="644"/>
      <c r="E187" s="644"/>
      <c r="F187" s="644"/>
      <c r="G187" s="644"/>
      <c r="H187" s="644"/>
      <c r="I187" s="644"/>
      <c r="J187" s="644"/>
      <c r="K187" s="644"/>
      <c r="L187" s="645"/>
    </row>
    <row r="188" spans="3:13" ht="49.2" customHeight="1" x14ac:dyDescent="0.3">
      <c r="C188" s="159" t="s">
        <v>20</v>
      </c>
      <c r="D188" s="728" t="s">
        <v>2781</v>
      </c>
      <c r="E188" s="728"/>
      <c r="F188" s="728"/>
      <c r="G188" s="730" t="s">
        <v>2777</v>
      </c>
      <c r="H188" s="730"/>
      <c r="I188" s="730"/>
      <c r="J188" s="160" t="s">
        <v>4476</v>
      </c>
      <c r="K188" s="161" t="s">
        <v>3804</v>
      </c>
      <c r="L188" s="162" t="s">
        <v>3805</v>
      </c>
    </row>
    <row r="189" spans="3:13" x14ac:dyDescent="0.3">
      <c r="C189" s="163">
        <v>1</v>
      </c>
      <c r="D189" s="685" t="s">
        <v>3151</v>
      </c>
      <c r="E189" s="685"/>
      <c r="F189" s="685"/>
      <c r="G189" s="665" t="s">
        <v>2782</v>
      </c>
      <c r="H189" s="665"/>
      <c r="I189" s="665"/>
      <c r="J189" s="330">
        <v>1200</v>
      </c>
      <c r="K189" s="331">
        <v>300</v>
      </c>
      <c r="L189" s="332">
        <f>IF(AND(D189="",J189="",K189=""),"-",SUM(J189:K189))</f>
        <v>1500</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163">
        <v>2</v>
      </c>
      <c r="D190" s="685" t="s">
        <v>3575</v>
      </c>
      <c r="E190" s="685"/>
      <c r="F190" s="685"/>
      <c r="G190" s="665" t="s">
        <v>2778</v>
      </c>
      <c r="H190" s="665"/>
      <c r="I190" s="665"/>
      <c r="J190" s="333">
        <v>800</v>
      </c>
      <c r="K190" s="333">
        <v>400</v>
      </c>
      <c r="L190" s="334">
        <f t="shared" ref="L190:L203" si="5">IF(AND(D190="",J190="",K190=""),"-",SUM(J190:K190))</f>
        <v>1200</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144">
        <v>3</v>
      </c>
      <c r="D191" s="727" t="s">
        <v>3023</v>
      </c>
      <c r="E191" s="727"/>
      <c r="F191" s="727"/>
      <c r="G191" s="709" t="s">
        <v>2782</v>
      </c>
      <c r="H191" s="709"/>
      <c r="I191" s="709"/>
      <c r="J191" s="335">
        <v>500</v>
      </c>
      <c r="K191" s="335">
        <v>200</v>
      </c>
      <c r="L191" s="336">
        <f t="shared" si="5"/>
        <v>700</v>
      </c>
      <c r="M191" s="17" t="str">
        <f t="shared" si="6"/>
        <v>OK</v>
      </c>
    </row>
    <row r="192" spans="3:13" outlineLevel="1" x14ac:dyDescent="0.3">
      <c r="C192" s="16">
        <v>4</v>
      </c>
      <c r="D192" s="729" t="s">
        <v>3072</v>
      </c>
      <c r="E192" s="729"/>
      <c r="F192" s="729"/>
      <c r="G192" s="710" t="s">
        <v>2782</v>
      </c>
      <c r="H192" s="710"/>
      <c r="I192" s="710"/>
      <c r="J192" s="337">
        <v>300</v>
      </c>
      <c r="K192" s="337">
        <v>100</v>
      </c>
      <c r="L192" s="338">
        <f t="shared" si="5"/>
        <v>400</v>
      </c>
      <c r="M192" s="17" t="str">
        <f t="shared" si="6"/>
        <v>OK</v>
      </c>
    </row>
    <row r="193" spans="3:13" outlineLevel="1" x14ac:dyDescent="0.3">
      <c r="C193" s="163">
        <v>5</v>
      </c>
      <c r="D193" s="685" t="s">
        <v>2861</v>
      </c>
      <c r="E193" s="685"/>
      <c r="F193" s="685"/>
      <c r="G193" s="665" t="s">
        <v>2782</v>
      </c>
      <c r="H193" s="665"/>
      <c r="I193" s="665"/>
      <c r="J193" s="333">
        <v>100</v>
      </c>
      <c r="K193" s="333">
        <v>150</v>
      </c>
      <c r="L193" s="334">
        <f t="shared" si="5"/>
        <v>250</v>
      </c>
      <c r="M193" s="17" t="str">
        <f t="shared" si="6"/>
        <v>OK</v>
      </c>
    </row>
    <row r="194" spans="3:13" outlineLevel="1" x14ac:dyDescent="0.3">
      <c r="C194" s="163">
        <v>6</v>
      </c>
      <c r="D194" s="686" t="s">
        <v>2870</v>
      </c>
      <c r="E194" s="687"/>
      <c r="F194" s="688"/>
      <c r="G194" s="665" t="s">
        <v>4740</v>
      </c>
      <c r="H194" s="665"/>
      <c r="I194" s="665"/>
      <c r="J194" s="333">
        <v>4000</v>
      </c>
      <c r="K194" s="333">
        <v>1000</v>
      </c>
      <c r="L194" s="334">
        <f>IF(AND(D194="",J194="",K194=""),"-",SUM(J194:K194))</f>
        <v>5000</v>
      </c>
      <c r="M194" s="17" t="str">
        <f t="shared" si="6"/>
        <v>OK</v>
      </c>
    </row>
    <row r="195" spans="3:13" outlineLevel="1" x14ac:dyDescent="0.3">
      <c r="C195" s="163">
        <v>7</v>
      </c>
      <c r="D195" s="685" t="s">
        <v>3505</v>
      </c>
      <c r="E195" s="685"/>
      <c r="F195" s="685"/>
      <c r="G195" s="665" t="s">
        <v>4740</v>
      </c>
      <c r="H195" s="665"/>
      <c r="I195" s="665"/>
      <c r="J195" s="333">
        <v>30</v>
      </c>
      <c r="K195" s="333">
        <v>70</v>
      </c>
      <c r="L195" s="334">
        <f>IF(AND(D195="",J195="",K195=""),"-",SUM(J195:K195))</f>
        <v>100</v>
      </c>
      <c r="M195" s="17" t="str">
        <f t="shared" si="6"/>
        <v>OK</v>
      </c>
    </row>
    <row r="196" spans="3:13" outlineLevel="1" x14ac:dyDescent="0.3">
      <c r="C196" s="163">
        <v>8</v>
      </c>
      <c r="D196" s="685"/>
      <c r="E196" s="685"/>
      <c r="F196" s="685"/>
      <c r="G196" s="665"/>
      <c r="H196" s="665"/>
      <c r="I196" s="665"/>
      <c r="J196" s="333"/>
      <c r="K196" s="333"/>
      <c r="L196" s="334" t="str">
        <f t="shared" si="5"/>
        <v>-</v>
      </c>
      <c r="M196" s="17" t="str">
        <f t="shared" si="6"/>
        <v/>
      </c>
    </row>
    <row r="197" spans="3:13" outlineLevel="1" x14ac:dyDescent="0.3">
      <c r="C197" s="163">
        <v>9</v>
      </c>
      <c r="D197" s="685"/>
      <c r="E197" s="685"/>
      <c r="F197" s="685"/>
      <c r="G197" s="665"/>
      <c r="H197" s="665"/>
      <c r="I197" s="665"/>
      <c r="J197" s="333"/>
      <c r="K197" s="333"/>
      <c r="L197" s="334" t="str">
        <f t="shared" si="5"/>
        <v>-</v>
      </c>
      <c r="M197" s="17" t="str">
        <f t="shared" si="6"/>
        <v/>
      </c>
    </row>
    <row r="198" spans="3:13" outlineLevel="1" x14ac:dyDescent="0.3">
      <c r="C198" s="163">
        <v>10</v>
      </c>
      <c r="D198" s="685"/>
      <c r="E198" s="685"/>
      <c r="F198" s="685"/>
      <c r="G198" s="665"/>
      <c r="H198" s="665"/>
      <c r="I198" s="665"/>
      <c r="J198" s="333"/>
      <c r="K198" s="333"/>
      <c r="L198" s="334" t="str">
        <f t="shared" si="5"/>
        <v>-</v>
      </c>
      <c r="M198" s="17" t="str">
        <f t="shared" si="6"/>
        <v/>
      </c>
    </row>
    <row r="199" spans="3:13" outlineLevel="1" x14ac:dyDescent="0.3">
      <c r="C199" s="163">
        <v>11</v>
      </c>
      <c r="D199" s="685"/>
      <c r="E199" s="685"/>
      <c r="F199" s="685"/>
      <c r="G199" s="665"/>
      <c r="H199" s="665"/>
      <c r="I199" s="665"/>
      <c r="J199" s="333"/>
      <c r="K199" s="333"/>
      <c r="L199" s="334" t="str">
        <f t="shared" si="5"/>
        <v>-</v>
      </c>
      <c r="M199" s="17" t="str">
        <f t="shared" si="6"/>
        <v/>
      </c>
    </row>
    <row r="200" spans="3:13" outlineLevel="1" x14ac:dyDescent="0.3">
      <c r="C200" s="163">
        <v>12</v>
      </c>
      <c r="D200" s="685"/>
      <c r="E200" s="685"/>
      <c r="F200" s="685"/>
      <c r="G200" s="665"/>
      <c r="H200" s="665"/>
      <c r="I200" s="665"/>
      <c r="J200" s="333"/>
      <c r="K200" s="333"/>
      <c r="L200" s="334" t="str">
        <f t="shared" si="5"/>
        <v>-</v>
      </c>
      <c r="M200" s="17" t="str">
        <f t="shared" si="6"/>
        <v/>
      </c>
    </row>
    <row r="201" spans="3:13" outlineLevel="1" x14ac:dyDescent="0.3">
      <c r="C201" s="163">
        <v>13</v>
      </c>
      <c r="D201" s="685"/>
      <c r="E201" s="685"/>
      <c r="F201" s="685"/>
      <c r="G201" s="665"/>
      <c r="H201" s="665"/>
      <c r="I201" s="665"/>
      <c r="J201" s="333"/>
      <c r="K201" s="333"/>
      <c r="L201" s="334" t="str">
        <f t="shared" si="5"/>
        <v>-</v>
      </c>
      <c r="M201" s="17" t="str">
        <f t="shared" si="6"/>
        <v/>
      </c>
    </row>
    <row r="202" spans="3:13" outlineLevel="1" x14ac:dyDescent="0.3">
      <c r="C202" s="163">
        <v>14</v>
      </c>
      <c r="D202" s="685"/>
      <c r="E202" s="685"/>
      <c r="F202" s="685"/>
      <c r="G202" s="665"/>
      <c r="H202" s="665"/>
      <c r="I202" s="665"/>
      <c r="J202" s="333"/>
      <c r="K202" s="333"/>
      <c r="L202" s="334" t="str">
        <f t="shared" si="5"/>
        <v>-</v>
      </c>
      <c r="M202" s="17" t="str">
        <f t="shared" si="6"/>
        <v/>
      </c>
    </row>
    <row r="203" spans="3:13" ht="15" outlineLevel="1" thickBot="1" x14ac:dyDescent="0.35">
      <c r="C203" s="69">
        <v>15</v>
      </c>
      <c r="D203" s="726"/>
      <c r="E203" s="726"/>
      <c r="F203" s="726"/>
      <c r="G203" s="709"/>
      <c r="H203" s="709"/>
      <c r="I203" s="709"/>
      <c r="J203" s="339"/>
      <c r="K203" s="339"/>
      <c r="L203" s="336" t="str">
        <f t="shared" si="5"/>
        <v>-</v>
      </c>
      <c r="M203" s="17" t="str">
        <f t="shared" si="6"/>
        <v/>
      </c>
    </row>
    <row r="204" spans="3:13" x14ac:dyDescent="0.3">
      <c r="C204" s="720" t="s">
        <v>4572</v>
      </c>
      <c r="D204" s="667" t="s">
        <v>4573</v>
      </c>
      <c r="E204" s="667"/>
      <c r="F204" s="668"/>
      <c r="G204" s="682" t="s">
        <v>2778</v>
      </c>
      <c r="H204" s="682"/>
      <c r="I204" s="683"/>
      <c r="J204" s="716">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16"/>
      <c r="L204" s="717"/>
      <c r="M204" s="17" t="str" cm="1">
        <f t="array" ref="M204">IF(G204="",
    IF(SUMPRODUCT(--((G189:G203="metric tonnes (t)")+(G189:G203="kilograms (kg)")))&gt;0,
        "MISSING VALUE",
        ""
    ),
    IF(SUMPRODUCT(--((G189:G203="metric tonnes (t)")+(G189:G203="kilograms (kg)")))&gt;0,
        "OK",
        ""
    )
)</f>
        <v>OK</v>
      </c>
    </row>
    <row r="205" spans="3:13" x14ac:dyDescent="0.3">
      <c r="C205" s="721"/>
      <c r="D205" s="692" t="s">
        <v>4574</v>
      </c>
      <c r="E205" s="692"/>
      <c r="F205" s="693"/>
      <c r="G205" s="641" t="str">
        <f>IF($G$204="", "-", $G$204)</f>
        <v>kilograms (kg)</v>
      </c>
      <c r="H205" s="641"/>
      <c r="I205" s="659"/>
      <c r="J205" s="63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639"/>
      <c r="L205" s="640"/>
    </row>
    <row r="206" spans="3:13" ht="15" thickBot="1" x14ac:dyDescent="0.35">
      <c r="C206" s="721"/>
      <c r="D206" s="654" t="s">
        <v>4575</v>
      </c>
      <c r="E206" s="654"/>
      <c r="F206" s="655"/>
      <c r="G206" s="641" t="str">
        <f>IF($G$204="", "-", $G$204)</f>
        <v>kilograms (kg)</v>
      </c>
      <c r="H206" s="642"/>
      <c r="I206" s="660"/>
      <c r="J206" s="637">
        <f>IF(AND(J204="-",J205="-"),"-",SUM(J204:L205))</f>
        <v>2851200</v>
      </c>
      <c r="K206" s="637"/>
      <c r="L206" s="638"/>
    </row>
    <row r="207" spans="3:13" x14ac:dyDescent="0.3">
      <c r="C207" s="721"/>
      <c r="D207" s="702" t="s">
        <v>4576</v>
      </c>
      <c r="E207" s="702"/>
      <c r="F207" s="703"/>
      <c r="G207" s="708" t="s">
        <v>2783</v>
      </c>
      <c r="H207" s="708"/>
      <c r="I207" s="708"/>
      <c r="J207" s="718">
        <f>IF(AND(D189="",J189="",K189="",D190="",J190="",K190="",D191="",J191="",K191="",D192="",J192="",K192="",D193="",J193="",K193="",D194="",J194="",K194="",D195="",J195="",K195="",D196="",J196="",K196="",D197="",J197="",K197="",D198="",J198="",K198="",D199="",J199="",K199="",D200="",J200="",K200="",D201="",J201="",K201="",D202="",J202="",K202="",D203="",J203="",K203=""),"-",SUMIFS(L189:L203, D189:D203,"* Hazardous *", G189:G203,"*cubic meters (m3)*"))</f>
        <v>100</v>
      </c>
      <c r="K207" s="718"/>
      <c r="L207" s="719"/>
    </row>
    <row r="208" spans="3:13" x14ac:dyDescent="0.3">
      <c r="C208" s="721"/>
      <c r="D208" s="692" t="s">
        <v>4577</v>
      </c>
      <c r="E208" s="692"/>
      <c r="F208" s="693"/>
      <c r="G208" s="641" t="s">
        <v>2783</v>
      </c>
      <c r="H208" s="641"/>
      <c r="I208" s="641"/>
      <c r="J208" s="639">
        <f>IF(AND(D189="",J189="",K189="",D190="",J190="",K190="",D191="",J191="",K191="",D192="",J192="",K192="",D193="",J193="",K193="",D194="",J194="",K194="",D195="",J195="",K195="",D196="",J196="",K196="",D197="",J197="",K197="",D198="",J198="",K198="",D199="",J199="",K199="",D200="",J200="",K200="",D201="",J201="",K201="",D202="",J202="",K202="",D203="",J203="",K203=""),"-",SUMIFS(L189:L203, D189:D203,"*Non-Hazardous*", G189:G203,"*cubic meters (m3)*"))</f>
        <v>5000</v>
      </c>
      <c r="K208" s="639"/>
      <c r="L208" s="640"/>
    </row>
    <row r="209" spans="3:12" ht="15" thickBot="1" x14ac:dyDescent="0.35">
      <c r="C209" s="722"/>
      <c r="D209" s="654" t="s">
        <v>4578</v>
      </c>
      <c r="E209" s="654"/>
      <c r="F209" s="655"/>
      <c r="G209" s="642" t="s">
        <v>2783</v>
      </c>
      <c r="H209" s="642"/>
      <c r="I209" s="642"/>
      <c r="J209" s="637">
        <f>IF(AND(J207="-",J208="-"),"-",SUM(J207:L208))</f>
        <v>5100</v>
      </c>
      <c r="K209" s="637"/>
      <c r="L209" s="638"/>
    </row>
    <row r="210" spans="3:12" ht="15" thickBot="1" x14ac:dyDescent="0.35"/>
    <row r="211" spans="3:12" x14ac:dyDescent="0.3">
      <c r="C211" s="646" t="str">
        <f xml:space="preserve"> "B7 – Annual mass-flow of relevant materials used " &amp; template_reporting_period_display &amp; " [If applicable]"</f>
        <v>B7 – Annual mass-flow of relevant materials used from 01/01/2024 to 31/12/2024 [If applicable]</v>
      </c>
      <c r="D211" s="647"/>
      <c r="E211" s="647"/>
      <c r="F211" s="647"/>
      <c r="G211" s="647"/>
      <c r="H211" s="647"/>
      <c r="I211" s="647"/>
      <c r="J211" s="648"/>
    </row>
    <row r="212" spans="3:12" x14ac:dyDescent="0.3">
      <c r="C212" s="649" t="s">
        <v>4781</v>
      </c>
      <c r="D212" s="650"/>
      <c r="E212" s="650"/>
      <c r="F212" s="650"/>
      <c r="G212" s="650"/>
      <c r="H212" s="650"/>
      <c r="I212" s="650"/>
      <c r="J212" s="651"/>
    </row>
    <row r="213" spans="3:12" x14ac:dyDescent="0.3">
      <c r="C213" s="643" t="s">
        <v>4782</v>
      </c>
      <c r="D213" s="644"/>
      <c r="E213" s="644"/>
      <c r="F213" s="644"/>
      <c r="G213" s="644"/>
      <c r="H213" s="644"/>
      <c r="I213" s="644"/>
      <c r="J213" s="645"/>
      <c r="K213" s="11"/>
      <c r="L213" s="11"/>
    </row>
    <row r="214" spans="3:12" ht="30" customHeight="1" x14ac:dyDescent="0.3">
      <c r="C214" s="521" t="s">
        <v>3996</v>
      </c>
      <c r="D214" s="652"/>
      <c r="E214" s="652"/>
      <c r="F214" s="653"/>
      <c r="G214" s="523" t="b">
        <v>1</v>
      </c>
      <c r="H214" s="524"/>
      <c r="I214" s="524"/>
      <c r="J214" s="525"/>
    </row>
    <row r="215" spans="3:12" ht="43.5" customHeight="1" x14ac:dyDescent="0.3">
      <c r="C215" s="165" t="s">
        <v>20</v>
      </c>
      <c r="D215" s="656" t="s">
        <v>2780</v>
      </c>
      <c r="E215" s="656"/>
      <c r="F215" s="656"/>
      <c r="G215" s="656" t="s">
        <v>4636</v>
      </c>
      <c r="H215" s="656"/>
      <c r="I215" s="656"/>
      <c r="J215" s="130" t="s">
        <v>2777</v>
      </c>
    </row>
    <row r="216" spans="3:12" x14ac:dyDescent="0.3">
      <c r="C216" s="4">
        <v>1</v>
      </c>
      <c r="D216" s="657" t="s">
        <v>4741</v>
      </c>
      <c r="E216" s="657"/>
      <c r="F216" s="657"/>
      <c r="G216" s="661">
        <v>1500</v>
      </c>
      <c r="H216" s="661"/>
      <c r="I216" s="661"/>
      <c r="J216" s="168" t="s">
        <v>2778</v>
      </c>
      <c r="K216" s="18" t="str">
        <f>IF(AND(G214=TRUE,D216&lt;&gt;"",G216&lt;&gt;"",J216&lt;&gt;""),"OK",IF(AND(G214=TRUE,OR(D216="",G216="",J216="")),"MISSING VALUE",""))</f>
        <v>OK</v>
      </c>
    </row>
    <row r="217" spans="3:12" x14ac:dyDescent="0.3">
      <c r="C217" s="4">
        <v>2</v>
      </c>
      <c r="D217" s="658" t="s">
        <v>4742</v>
      </c>
      <c r="E217" s="658"/>
      <c r="F217" s="658"/>
      <c r="G217" s="661">
        <v>800</v>
      </c>
      <c r="H217" s="661"/>
      <c r="I217" s="661"/>
      <c r="J217" s="168" t="s">
        <v>4740</v>
      </c>
      <c r="K217" s="18" t="str">
        <f>IF(AND(D217&lt;&gt;"",G217&lt;&gt;"",J217&lt;&gt;""),"OK",IF(AND(D217&lt;&gt;"",G217&lt;&gt;"",J217=""),"MISSING VALUE",IF(AND(D217&lt;&gt;"",G217="",J217=""),"MISSING VALUE",IF(AND(D217&lt;&gt;"",G217="",J217=""),"MISSING VALUE",IF(AND(D217="",G217="",J217=""),"","MISSING VALUE")))))</f>
        <v>OK</v>
      </c>
    </row>
    <row r="218" spans="3:12" x14ac:dyDescent="0.3">
      <c r="C218" s="4">
        <v>3</v>
      </c>
      <c r="D218" s="658"/>
      <c r="E218" s="658"/>
      <c r="F218" s="658"/>
      <c r="G218" s="661"/>
      <c r="H218" s="661"/>
      <c r="I218" s="661"/>
      <c r="J218" s="168"/>
      <c r="K218" s="18" t="str">
        <f t="shared" ref="K218:K230" si="7">IF(AND(D218&lt;&gt;"",G218&lt;&gt;"",J218&lt;&gt;""),"OK",IF(AND(D218&lt;&gt;"",G218&lt;&gt;"",J218=""),"MISSING VALUE",IF(AND(D218&lt;&gt;"",G218="",J218=""),"MISSING VALUE",IF(AND(D218&lt;&gt;"",G218="",J218=""),"MISSING VALUE",IF(AND(D218="",G218="",J218=""),"","MISSING VALUE")))))</f>
        <v/>
      </c>
    </row>
    <row r="219" spans="3:12" outlineLevel="1" x14ac:dyDescent="0.3">
      <c r="C219" s="4">
        <v>4</v>
      </c>
      <c r="D219" s="658"/>
      <c r="E219" s="658"/>
      <c r="F219" s="658"/>
      <c r="G219" s="661"/>
      <c r="H219" s="661"/>
      <c r="I219" s="661"/>
      <c r="J219" s="168"/>
      <c r="K219" s="18" t="str">
        <f t="shared" si="7"/>
        <v/>
      </c>
    </row>
    <row r="220" spans="3:12" outlineLevel="1" x14ac:dyDescent="0.3">
      <c r="C220" s="4">
        <v>5</v>
      </c>
      <c r="D220" s="658"/>
      <c r="E220" s="658"/>
      <c r="F220" s="658"/>
      <c r="G220" s="661"/>
      <c r="H220" s="661"/>
      <c r="I220" s="661"/>
      <c r="J220" s="168"/>
      <c r="K220" s="18" t="str">
        <f t="shared" si="7"/>
        <v/>
      </c>
    </row>
    <row r="221" spans="3:12" outlineLevel="1" x14ac:dyDescent="0.3">
      <c r="C221" s="4">
        <v>6</v>
      </c>
      <c r="D221" s="657"/>
      <c r="E221" s="657"/>
      <c r="F221" s="657"/>
      <c r="G221" s="661"/>
      <c r="H221" s="661"/>
      <c r="I221" s="661"/>
      <c r="J221" s="168"/>
      <c r="K221" s="18" t="str">
        <f t="shared" si="7"/>
        <v/>
      </c>
    </row>
    <row r="222" spans="3:12" outlineLevel="1" x14ac:dyDescent="0.3">
      <c r="C222" s="4">
        <v>7</v>
      </c>
      <c r="D222" s="657"/>
      <c r="E222" s="657"/>
      <c r="F222" s="657"/>
      <c r="G222" s="661"/>
      <c r="H222" s="661"/>
      <c r="I222" s="661"/>
      <c r="J222" s="168"/>
      <c r="K222" s="18" t="str">
        <f t="shared" si="7"/>
        <v/>
      </c>
    </row>
    <row r="223" spans="3:12" outlineLevel="1" x14ac:dyDescent="0.3">
      <c r="C223" s="4">
        <v>8</v>
      </c>
      <c r="D223" s="657"/>
      <c r="E223" s="657"/>
      <c r="F223" s="657"/>
      <c r="G223" s="661"/>
      <c r="H223" s="661"/>
      <c r="I223" s="661"/>
      <c r="J223" s="168"/>
      <c r="K223" s="18" t="str">
        <f t="shared" si="7"/>
        <v/>
      </c>
    </row>
    <row r="224" spans="3:12" outlineLevel="1" x14ac:dyDescent="0.3">
      <c r="C224" s="4">
        <v>9</v>
      </c>
      <c r="D224" s="657"/>
      <c r="E224" s="657"/>
      <c r="F224" s="657"/>
      <c r="G224" s="661"/>
      <c r="H224" s="661"/>
      <c r="I224" s="661"/>
      <c r="J224" s="168"/>
      <c r="K224" s="18" t="str">
        <f t="shared" si="7"/>
        <v/>
      </c>
    </row>
    <row r="225" spans="1:12" outlineLevel="1" x14ac:dyDescent="0.3">
      <c r="C225" s="4">
        <v>10</v>
      </c>
      <c r="D225" s="657"/>
      <c r="E225" s="657"/>
      <c r="F225" s="657"/>
      <c r="G225" s="661"/>
      <c r="H225" s="661"/>
      <c r="I225" s="661"/>
      <c r="J225" s="168"/>
      <c r="K225" s="18" t="str">
        <f t="shared" si="7"/>
        <v/>
      </c>
    </row>
    <row r="226" spans="1:12" outlineLevel="1" x14ac:dyDescent="0.3">
      <c r="C226" s="4">
        <v>11</v>
      </c>
      <c r="D226" s="628"/>
      <c r="E226" s="629"/>
      <c r="F226" s="630"/>
      <c r="G226" s="631"/>
      <c r="H226" s="632"/>
      <c r="I226" s="633"/>
      <c r="J226" s="168"/>
      <c r="K226" s="18" t="str">
        <f t="shared" si="7"/>
        <v/>
      </c>
    </row>
    <row r="227" spans="1:12" outlineLevel="1" x14ac:dyDescent="0.3">
      <c r="C227" s="4">
        <v>12</v>
      </c>
      <c r="D227" s="628"/>
      <c r="E227" s="629"/>
      <c r="F227" s="630"/>
      <c r="G227" s="631"/>
      <c r="H227" s="632"/>
      <c r="I227" s="633"/>
      <c r="J227" s="168"/>
      <c r="K227" s="18" t="str">
        <f t="shared" si="7"/>
        <v/>
      </c>
    </row>
    <row r="228" spans="1:12" outlineLevel="1" x14ac:dyDescent="0.3">
      <c r="C228" s="4">
        <v>13</v>
      </c>
      <c r="D228" s="628"/>
      <c r="E228" s="629"/>
      <c r="F228" s="630"/>
      <c r="G228" s="634"/>
      <c r="H228" s="635"/>
      <c r="I228" s="636"/>
      <c r="J228" s="168"/>
      <c r="K228" s="18" t="str">
        <f t="shared" si="7"/>
        <v/>
      </c>
    </row>
    <row r="229" spans="1:12" outlineLevel="1" x14ac:dyDescent="0.3">
      <c r="C229" s="4">
        <v>14</v>
      </c>
      <c r="D229" s="628"/>
      <c r="E229" s="629"/>
      <c r="F229" s="630"/>
      <c r="G229" s="631"/>
      <c r="H229" s="632"/>
      <c r="I229" s="633"/>
      <c r="J229" s="168"/>
      <c r="K229" s="18" t="str">
        <f t="shared" si="7"/>
        <v/>
      </c>
    </row>
    <row r="230" spans="1:12" outlineLevel="1" x14ac:dyDescent="0.3">
      <c r="C230" s="4">
        <v>15</v>
      </c>
      <c r="D230" s="628"/>
      <c r="E230" s="629"/>
      <c r="F230" s="630"/>
      <c r="G230" s="631"/>
      <c r="H230" s="632"/>
      <c r="I230" s="633"/>
      <c r="J230" s="168"/>
      <c r="K230" s="18" t="str">
        <f t="shared" si="7"/>
        <v/>
      </c>
    </row>
    <row r="231" spans="1:12" x14ac:dyDescent="0.3">
      <c r="C231" s="805" t="s">
        <v>2784</v>
      </c>
      <c r="D231" s="806"/>
      <c r="E231" s="806"/>
      <c r="F231" s="806"/>
      <c r="G231" s="639">
        <f>IF(AND(G216="",G217="",J216="",J217="",G218="",J218=""),"-",(SUMIF($J$216:$J$225,"kilograms (kg)",$G$216:$G$225))+((SUMIF($J$216:$J$225,"metric tonnes (t)",$G$216:$G$225))*1000))</f>
        <v>1500</v>
      </c>
      <c r="H231" s="639"/>
      <c r="I231" s="639"/>
      <c r="J231" s="166" t="s">
        <v>2778</v>
      </c>
    </row>
    <row r="232" spans="1:12" ht="15" thickBot="1" x14ac:dyDescent="0.35">
      <c r="C232" s="803" t="s">
        <v>3638</v>
      </c>
      <c r="D232" s="804"/>
      <c r="E232" s="804"/>
      <c r="F232" s="804"/>
      <c r="G232" s="637">
        <f>IF(AND(G216="",G217="",J216="",J217="",G218="",J218=""),"-",SUMIF(J216:J225, "cubic meters (m3)", G216:G225))</f>
        <v>800</v>
      </c>
      <c r="H232" s="637"/>
      <c r="I232" s="637"/>
      <c r="J232" s="164" t="s">
        <v>2783</v>
      </c>
      <c r="K232" s="18"/>
    </row>
    <row r="233" spans="1:12" ht="15" thickBot="1" x14ac:dyDescent="0.35">
      <c r="D233" s="12"/>
      <c r="E233" s="12"/>
      <c r="F233" s="12"/>
      <c r="G233" s="12"/>
      <c r="H233" s="12"/>
      <c r="I233" s="12"/>
      <c r="J233" s="12"/>
    </row>
    <row r="234" spans="1:12" x14ac:dyDescent="0.3">
      <c r="C234" s="794" t="str">
        <f xml:space="preserve"> "C4 – Climate risks " &amp; template_reporting_period_display &amp; " [If applicable]"</f>
        <v>C4 – Climate risks from 01/01/2024 to 31/12/2024 [If applicable]</v>
      </c>
      <c r="D234" s="795"/>
      <c r="E234" s="795"/>
      <c r="F234" s="795"/>
      <c r="G234" s="795"/>
      <c r="H234" s="795"/>
      <c r="I234" s="795"/>
      <c r="J234" s="795"/>
      <c r="K234" s="796"/>
    </row>
    <row r="235" spans="1:12" ht="39.6" customHeight="1" x14ac:dyDescent="0.3">
      <c r="C235" s="521" t="s">
        <v>3997</v>
      </c>
      <c r="D235" s="694"/>
      <c r="E235" s="800" t="b">
        <v>1</v>
      </c>
      <c r="F235" s="801"/>
      <c r="G235" s="801"/>
      <c r="H235" s="801"/>
      <c r="I235" s="801"/>
      <c r="J235" s="801"/>
      <c r="K235" s="802"/>
    </row>
    <row r="236" spans="1:12" x14ac:dyDescent="0.3">
      <c r="A236" s="295" t="s">
        <v>4783</v>
      </c>
      <c r="B236" s="295" t="s">
        <v>4787</v>
      </c>
      <c r="C236" s="509" t="s">
        <v>4487</v>
      </c>
      <c r="D236" s="509"/>
      <c r="E236" s="500" t="s">
        <v>4836</v>
      </c>
      <c r="F236" s="501"/>
      <c r="G236" s="501"/>
      <c r="H236" s="501"/>
      <c r="I236" s="501"/>
      <c r="J236" s="501"/>
      <c r="K236" s="502"/>
      <c r="L236" s="17" t="str">
        <f>IF(AND($E$235=TRUE,E236&lt;&gt;""),"OK",IF(AND($E$235=TRUE,G236=""),"MISSING VALUE",""))</f>
        <v>OK</v>
      </c>
    </row>
    <row r="237" spans="1:12" x14ac:dyDescent="0.3">
      <c r="A237" s="295" t="s">
        <v>4784</v>
      </c>
      <c r="B237" s="295" t="s">
        <v>4787</v>
      </c>
      <c r="C237" s="509" t="s">
        <v>29</v>
      </c>
      <c r="D237" s="509"/>
      <c r="E237" s="500" t="s">
        <v>4836</v>
      </c>
      <c r="F237" s="501"/>
      <c r="G237" s="501"/>
      <c r="H237" s="501"/>
      <c r="I237" s="501"/>
      <c r="J237" s="501"/>
      <c r="K237" s="502"/>
      <c r="L237" s="17" t="str">
        <f t="shared" ref="L237:L238" si="8">IF(AND($E$235=TRUE,E237&lt;&gt;""),"OK",IF(AND($E$235=TRUE,G237=""),"MISSING VALUE",""))</f>
        <v>OK</v>
      </c>
    </row>
    <row r="238" spans="1:12" x14ac:dyDescent="0.3">
      <c r="A238" s="295" t="s">
        <v>4785</v>
      </c>
      <c r="B238" s="295" t="s">
        <v>4787</v>
      </c>
      <c r="C238" s="509" t="s">
        <v>30</v>
      </c>
      <c r="D238" s="509"/>
      <c r="E238" s="500" t="s">
        <v>4836</v>
      </c>
      <c r="F238" s="501"/>
      <c r="G238" s="501"/>
      <c r="H238" s="501"/>
      <c r="I238" s="501"/>
      <c r="J238" s="501"/>
      <c r="K238" s="502"/>
      <c r="L238" s="17" t="str">
        <f t="shared" si="8"/>
        <v>OK</v>
      </c>
    </row>
    <row r="239" spans="1:12" ht="27.6" customHeight="1" x14ac:dyDescent="0.3">
      <c r="A239" s="295" t="s">
        <v>4786</v>
      </c>
      <c r="B239" s="295" t="s">
        <v>4787</v>
      </c>
      <c r="C239" s="509" t="s">
        <v>4579</v>
      </c>
      <c r="D239" s="509"/>
      <c r="E239" s="797" t="s">
        <v>3623</v>
      </c>
      <c r="F239" s="798"/>
      <c r="G239" s="798"/>
      <c r="H239" s="798"/>
      <c r="I239" s="798"/>
      <c r="J239" s="798"/>
      <c r="K239" s="799"/>
      <c r="L239" s="17" t="str">
        <f>IF(AND($E$235=TRUE,E239&lt;&gt;""),"OK",IF(AND($E$235=TRUE,G239=""),"MISSING VALUE",""))</f>
        <v>OK</v>
      </c>
    </row>
    <row r="240" spans="1:12" ht="28.8" customHeight="1" thickBot="1" x14ac:dyDescent="0.35">
      <c r="A240" s="295">
        <v>58</v>
      </c>
      <c r="B240" s="295" t="s">
        <v>4787</v>
      </c>
      <c r="C240" s="498" t="s">
        <v>4004</v>
      </c>
      <c r="D240" s="498"/>
      <c r="E240" s="503"/>
      <c r="F240" s="504"/>
      <c r="G240" s="504"/>
      <c r="H240" s="504"/>
      <c r="I240" s="504"/>
      <c r="J240" s="504"/>
      <c r="K240" s="505"/>
      <c r="L240" s="17" t="str">
        <f>IF(AND($E$235=TRUE,E240&lt;&gt;""),"OK","")</f>
        <v/>
      </c>
    </row>
    <row r="241" spans="3:13" ht="15" thickBot="1" x14ac:dyDescent="0.35"/>
    <row r="242" spans="3:13" x14ac:dyDescent="0.3">
      <c r="C242" s="592" t="str">
        <f xml:space="preserve"> "Disclosure of any other environmental and/or entity specific enviromental disclosures " &amp; template_reporting_period_display &amp; " [May (optional)] "</f>
        <v xml:space="preserve">Disclosure of any other environmental and/or entity specific enviromental disclosures from 01/01/2024 to 31/12/2024 [May (optional)] </v>
      </c>
      <c r="D242" s="593"/>
      <c r="E242" s="593"/>
      <c r="F242" s="593"/>
      <c r="G242" s="593"/>
      <c r="H242" s="593"/>
      <c r="I242" s="593"/>
      <c r="J242" s="593"/>
      <c r="K242" s="593"/>
      <c r="L242" s="594"/>
    </row>
    <row r="243" spans="3:13" x14ac:dyDescent="0.3">
      <c r="C243" s="529">
        <v>10</v>
      </c>
      <c r="D243" s="530"/>
      <c r="E243" s="530"/>
      <c r="F243" s="530"/>
      <c r="G243" s="530"/>
      <c r="H243" s="530"/>
      <c r="I243" s="530"/>
      <c r="J243" s="530"/>
      <c r="K243" s="530"/>
      <c r="L243" s="531"/>
      <c r="M243" s="8"/>
    </row>
    <row r="244" spans="3:13" ht="15" thickBot="1" x14ac:dyDescent="0.35">
      <c r="C244" s="586"/>
      <c r="D244" s="587"/>
      <c r="E244" s="587"/>
      <c r="F244" s="587"/>
      <c r="G244" s="587"/>
      <c r="H244" s="587"/>
      <c r="I244" s="587"/>
      <c r="J244" s="587"/>
      <c r="K244" s="587"/>
      <c r="L244" s="587"/>
      <c r="M244" s="127" t="str">
        <f>IF(C244&lt;&gt;"", "OK", "")</f>
        <v/>
      </c>
    </row>
  </sheetData>
  <sheetProtection algorithmName="SHA-512" hashValue="aRc/wE+mg70rt1NUHqCSm4jy8PIo4XggeaG6aCgbNbF9CXo79UPTLdIVotNDjEFOhsrcPzXiv0MmAd3nar89LA==" saltValue="NpAnY7SuTjh8ROEz6ljEBA=="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3">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G47:I47" xr:uid="{443D66CF-8E63-4B55-B617-CE7E757BCE86}">
      <formula1>IF(G29=FALSE, "-", IF(AND(G22="", G24="", G45=""), "-", IF(SUM(G22, G24, G45)=0, "-", SUM(G22, G24,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47" xr:uid="{ECB7E383-F3DD-4CF8-8F1F-F7B928191CCF}">
      <formula1>IF(G29=FALSE, "-", IF(AND(J22="", J24="", J45=""), "-", IF(SUM(J22, J24, J45)=0, "-", SUM(J22, J24,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37EBF5B-8A9B-418C-BE46-B1F79B214FD2}"/>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topLeftCell="A90" zoomScaleNormal="100" workbookViewId="0">
      <selection activeCell="D100" sqref="D100:H100"/>
    </sheetView>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4747</v>
      </c>
      <c r="B1" s="310" t="s">
        <v>4746</v>
      </c>
    </row>
    <row r="2" spans="1:8" ht="15" thickBot="1" x14ac:dyDescent="0.35">
      <c r="C2" s="1016" t="s">
        <v>4016</v>
      </c>
      <c r="D2" s="1017"/>
      <c r="E2" s="1018"/>
      <c r="F2" s="1019" t="str">
        <f>IF('General Information'!$E$64="","-",'General Information'!$E$64)</f>
        <v>Full-time equivalent (FTE)</v>
      </c>
      <c r="G2" s="1019"/>
      <c r="H2" s="1020"/>
    </row>
    <row r="3" spans="1:8" ht="15" thickBot="1" x14ac:dyDescent="0.35">
      <c r="C3" s="1016" t="s">
        <v>4017</v>
      </c>
      <c r="D3" s="1017"/>
      <c r="E3" s="1018"/>
      <c r="F3" s="1021" t="str">
        <f>IF('General Information'!$E$63="","-",'General Information'!$E$63)</f>
        <v>As an average across the reporting period</v>
      </c>
      <c r="G3" s="1022"/>
      <c r="H3" s="1023"/>
    </row>
    <row r="5" spans="1:8" ht="15" thickBot="1" x14ac:dyDescent="0.35"/>
    <row r="6" spans="1:8" x14ac:dyDescent="0.3">
      <c r="C6" s="514" t="str">
        <f xml:space="preserve"> "B8 – Workforce – General characteristics - Type of contract "  &amp; " [Always to be reported]"</f>
        <v>B8 – Workforce – General characteristics - Type of contract  [Always to be reported]</v>
      </c>
      <c r="D6" s="515"/>
      <c r="E6" s="515"/>
      <c r="F6" s="515"/>
      <c r="G6" s="516"/>
      <c r="H6"/>
    </row>
    <row r="7" spans="1:8" x14ac:dyDescent="0.3">
      <c r="C7" s="529" t="s">
        <v>4788</v>
      </c>
      <c r="D7" s="530"/>
      <c r="E7" s="530"/>
      <c r="F7" s="530"/>
      <c r="G7" s="531"/>
    </row>
    <row r="8" spans="1:8" x14ac:dyDescent="0.3">
      <c r="C8" s="526" t="s">
        <v>4789</v>
      </c>
      <c r="D8" s="961"/>
      <c r="E8" s="961"/>
      <c r="F8" s="961"/>
      <c r="G8" s="1009"/>
    </row>
    <row r="9" spans="1:8" x14ac:dyDescent="0.3">
      <c r="C9" s="171" t="s">
        <v>32</v>
      </c>
      <c r="D9" s="1010" t="s">
        <v>33</v>
      </c>
      <c r="E9" s="1011"/>
      <c r="F9" s="1011"/>
      <c r="G9" s="1012"/>
      <c r="H9" s="172"/>
    </row>
    <row r="10" spans="1:8" x14ac:dyDescent="0.3">
      <c r="C10" s="173" t="s">
        <v>35</v>
      </c>
      <c r="D10" s="672">
        <v>110</v>
      </c>
      <c r="E10" s="673"/>
      <c r="F10" s="673"/>
      <c r="G10" s="674"/>
      <c r="H10" s="15" t="str">
        <f>IF(AND(OR('General Information'!E32="Option A (Basic Module only)", 'General Information'!E32="Option B (Basic Module and Comprehensive Module)"),D10=""),"MISSING VALUE",IF('General Information'!E32="","","OK"))</f>
        <v>OK</v>
      </c>
    </row>
    <row r="11" spans="1:8" x14ac:dyDescent="0.3">
      <c r="C11" s="173" t="s">
        <v>34</v>
      </c>
      <c r="D11" s="1013">
        <f>IFERROR(IF(D10="", "-", $D$12 - $D$10), "-")</f>
        <v>41</v>
      </c>
      <c r="E11" s="1014"/>
      <c r="F11" s="1014"/>
      <c r="G11" s="1015"/>
      <c r="H11" s="15"/>
    </row>
    <row r="12" spans="1:8" ht="15" thickBot="1" x14ac:dyDescent="0.35">
      <c r="C12" s="174" t="s">
        <v>3634</v>
      </c>
      <c r="D12" s="1001">
        <f>IF('General Information'!$E$62="", "-", VALUE(SUBSTITUTE('General Information'!$E$62, "-", "0")))</f>
        <v>151</v>
      </c>
      <c r="E12" s="1001"/>
      <c r="F12" s="1001"/>
      <c r="G12" s="996"/>
      <c r="H12" s="18"/>
    </row>
    <row r="13" spans="1:8" ht="15" thickBot="1" x14ac:dyDescent="0.35"/>
    <row r="14" spans="1:8" x14ac:dyDescent="0.3">
      <c r="C14" s="514" t="str">
        <f xml:space="preserve"> "B8 – Workforce – General characteristics - Gender " &amp; " [Always to be reported]"</f>
        <v>B8 – Workforce – General characteristics - Gender  [Always to be reported]</v>
      </c>
      <c r="D14" s="515"/>
      <c r="E14" s="515"/>
      <c r="F14" s="515"/>
      <c r="G14" s="516"/>
      <c r="H14"/>
    </row>
    <row r="15" spans="1:8" x14ac:dyDescent="0.3">
      <c r="C15" s="529" t="s">
        <v>4790</v>
      </c>
      <c r="D15" s="530"/>
      <c r="E15" s="530"/>
      <c r="F15" s="530"/>
      <c r="G15" s="531"/>
    </row>
    <row r="16" spans="1:8" x14ac:dyDescent="0.3">
      <c r="C16" s="526" t="s">
        <v>4789</v>
      </c>
      <c r="D16" s="527"/>
      <c r="E16" s="527"/>
      <c r="F16" s="527"/>
      <c r="G16" s="528"/>
    </row>
    <row r="17" spans="3:9" x14ac:dyDescent="0.3">
      <c r="C17" s="175" t="s">
        <v>36</v>
      </c>
      <c r="D17" s="1024" t="s">
        <v>33</v>
      </c>
      <c r="E17" s="1025"/>
      <c r="F17" s="1025"/>
      <c r="G17" s="1026"/>
    </row>
    <row r="18" spans="3:9" x14ac:dyDescent="0.3">
      <c r="C18" s="176" t="s">
        <v>37</v>
      </c>
      <c r="D18" s="672">
        <v>55</v>
      </c>
      <c r="E18" s="673"/>
      <c r="F18" s="673"/>
      <c r="G18" s="674"/>
      <c r="H18" s="1005"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6" t="s">
        <v>38</v>
      </c>
      <c r="D19" s="672">
        <v>40</v>
      </c>
      <c r="E19" s="673"/>
      <c r="F19" s="673"/>
      <c r="G19" s="674"/>
      <c r="H19" s="1005"/>
    </row>
    <row r="20" spans="3:9" x14ac:dyDescent="0.3">
      <c r="C20" s="176" t="s">
        <v>39</v>
      </c>
      <c r="D20" s="672">
        <v>5</v>
      </c>
      <c r="E20" s="673"/>
      <c r="F20" s="673"/>
      <c r="G20" s="674"/>
      <c r="H20" s="1005"/>
    </row>
    <row r="21" spans="3:9" x14ac:dyDescent="0.3">
      <c r="C21" s="176" t="s">
        <v>40</v>
      </c>
      <c r="D21" s="1006">
        <v>51</v>
      </c>
      <c r="E21" s="1007"/>
      <c r="F21" s="1007"/>
      <c r="G21" s="1008"/>
      <c r="H21" s="1005"/>
    </row>
    <row r="22" spans="3:9" ht="15" thickBot="1" x14ac:dyDescent="0.35">
      <c r="C22" s="174" t="s">
        <v>3634</v>
      </c>
      <c r="D22" s="1001">
        <f>IF('General Information'!$E$62="","-",'General Information'!$E$62)</f>
        <v>151</v>
      </c>
      <c r="E22" s="1001"/>
      <c r="F22" s="1001"/>
      <c r="G22" s="996"/>
      <c r="H22" s="19"/>
    </row>
    <row r="23" spans="3:9" ht="15" thickBot="1" x14ac:dyDescent="0.35"/>
    <row r="24" spans="3:9" x14ac:dyDescent="0.3">
      <c r="C24" s="997" t="str">
        <f xml:space="preserve"> "B8 – Workforce – General characteristics - Country of employment " &amp; " [If applicable]"</f>
        <v>B8 – Workforce – General characteristics - Country of employment  [If applicable]</v>
      </c>
      <c r="D24" s="998"/>
      <c r="E24" s="998"/>
      <c r="F24" s="998"/>
      <c r="G24" s="998"/>
      <c r="H24" s="999"/>
    </row>
    <row r="25" spans="3:9" x14ac:dyDescent="0.3">
      <c r="C25" s="649" t="s">
        <v>4791</v>
      </c>
      <c r="D25" s="650"/>
      <c r="E25" s="650"/>
      <c r="F25" s="650"/>
      <c r="G25" s="650"/>
      <c r="H25" s="651"/>
    </row>
    <row r="26" spans="3:9" x14ac:dyDescent="0.3">
      <c r="C26" s="643" t="s">
        <v>4789</v>
      </c>
      <c r="D26" s="644"/>
      <c r="E26" s="644"/>
      <c r="F26" s="644"/>
      <c r="G26" s="644"/>
      <c r="H26" s="645"/>
    </row>
    <row r="27" spans="3:9" x14ac:dyDescent="0.3">
      <c r="C27" s="783" t="s">
        <v>41</v>
      </c>
      <c r="D27" s="1002"/>
      <c r="E27" s="1003" t="s">
        <v>33</v>
      </c>
      <c r="F27" s="1003"/>
      <c r="G27" s="1003"/>
      <c r="H27" s="1004"/>
    </row>
    <row r="28" spans="3:9" x14ac:dyDescent="0.3">
      <c r="C28" s="784" t="s">
        <v>506</v>
      </c>
      <c r="D28" s="990"/>
      <c r="E28" s="991">
        <v>140</v>
      </c>
      <c r="F28" s="991"/>
      <c r="G28" s="991"/>
      <c r="H28" s="992"/>
      <c r="I28" s="15" t="str">
        <f t="shared" ref="I28:I37" si="0">IF(AND(C28="", E28=""), "",
IF(AND(C28&lt;&gt;"", E28=""), "MISSING VALUE",
IF(AND(C28&lt;&gt;"", E28&lt;&gt;""),
   IF($E$28+$E$29+$E$30+$E$31+$E$32+$E$33+$E$34+$E$35+$E$36+$E$37&lt;$E$38, "MISSING VALUE",
   IF(COUNTIF($C$28:$C$37, C28) &gt; 1, "VALUE INCONSISTENCY", "OK")),
"MISSING VALUE")))</f>
        <v>OK</v>
      </c>
    </row>
    <row r="29" spans="3:9" x14ac:dyDescent="0.3">
      <c r="C29" s="784" t="s">
        <v>138</v>
      </c>
      <c r="D29" s="990"/>
      <c r="E29" s="662">
        <v>1</v>
      </c>
      <c r="F29" s="663"/>
      <c r="G29" s="663"/>
      <c r="H29" s="1000"/>
      <c r="I29" s="15" t="str">
        <f t="shared" si="0"/>
        <v>OK</v>
      </c>
    </row>
    <row r="30" spans="3:9" x14ac:dyDescent="0.3">
      <c r="C30" s="784" t="s">
        <v>78</v>
      </c>
      <c r="D30" s="990"/>
      <c r="E30" s="991">
        <v>10</v>
      </c>
      <c r="F30" s="991"/>
      <c r="G30" s="991"/>
      <c r="H30" s="992"/>
      <c r="I30" s="15" t="str">
        <f t="shared" si="0"/>
        <v>OK</v>
      </c>
    </row>
    <row r="31" spans="3:9" outlineLevel="1" x14ac:dyDescent="0.3">
      <c r="C31" s="784"/>
      <c r="D31" s="990"/>
      <c r="E31" s="991"/>
      <c r="F31" s="991"/>
      <c r="G31" s="991"/>
      <c r="H31" s="992"/>
      <c r="I31" s="15" t="str">
        <f t="shared" si="0"/>
        <v/>
      </c>
    </row>
    <row r="32" spans="3:9" outlineLevel="1" x14ac:dyDescent="0.3">
      <c r="C32" s="784"/>
      <c r="D32" s="990"/>
      <c r="E32" s="991"/>
      <c r="F32" s="991"/>
      <c r="G32" s="991"/>
      <c r="H32" s="992"/>
      <c r="I32" s="15" t="str">
        <f t="shared" si="0"/>
        <v/>
      </c>
    </row>
    <row r="33" spans="3:9" outlineLevel="1" x14ac:dyDescent="0.3">
      <c r="C33" s="784"/>
      <c r="D33" s="990"/>
      <c r="E33" s="991"/>
      <c r="F33" s="991"/>
      <c r="G33" s="991"/>
      <c r="H33" s="992"/>
      <c r="I33" s="15" t="str">
        <f t="shared" si="0"/>
        <v/>
      </c>
    </row>
    <row r="34" spans="3:9" outlineLevel="1" x14ac:dyDescent="0.3">
      <c r="C34" s="784"/>
      <c r="D34" s="990"/>
      <c r="E34" s="991"/>
      <c r="F34" s="991"/>
      <c r="G34" s="991"/>
      <c r="H34" s="992"/>
      <c r="I34" s="15" t="str">
        <f t="shared" si="0"/>
        <v/>
      </c>
    </row>
    <row r="35" spans="3:9" outlineLevel="1" x14ac:dyDescent="0.3">
      <c r="C35" s="784"/>
      <c r="D35" s="990"/>
      <c r="E35" s="991"/>
      <c r="F35" s="991"/>
      <c r="G35" s="991"/>
      <c r="H35" s="992"/>
      <c r="I35" s="15" t="str">
        <f t="shared" si="0"/>
        <v/>
      </c>
    </row>
    <row r="36" spans="3:9" outlineLevel="1" x14ac:dyDescent="0.3">
      <c r="C36" s="784"/>
      <c r="D36" s="990"/>
      <c r="E36" s="991"/>
      <c r="F36" s="991"/>
      <c r="G36" s="991"/>
      <c r="H36" s="992"/>
      <c r="I36" s="15" t="str">
        <f t="shared" si="0"/>
        <v/>
      </c>
    </row>
    <row r="37" spans="3:9" outlineLevel="1" x14ac:dyDescent="0.3">
      <c r="C37" s="784"/>
      <c r="D37" s="990"/>
      <c r="E37" s="991"/>
      <c r="F37" s="991"/>
      <c r="G37" s="991"/>
      <c r="H37" s="992"/>
      <c r="I37" s="15" t="str">
        <f t="shared" si="0"/>
        <v/>
      </c>
    </row>
    <row r="38" spans="3:9" ht="15" thickBot="1" x14ac:dyDescent="0.35">
      <c r="C38" s="993" t="s">
        <v>3634</v>
      </c>
      <c r="D38" s="994"/>
      <c r="E38" s="995">
        <f>IF('General Information'!$E$62="","-",'General Information'!$E$62)</f>
        <v>151</v>
      </c>
      <c r="F38" s="995"/>
      <c r="G38" s="995"/>
      <c r="H38" s="996"/>
      <c r="I38" s="15"/>
    </row>
    <row r="39" spans="3:9" ht="15" thickBot="1" x14ac:dyDescent="0.35"/>
    <row r="40" spans="3:9" x14ac:dyDescent="0.3">
      <c r="C40" s="997" t="str">
        <f xml:space="preserve"> "B8 – Workforce – General characteristics - Turnover rate " &amp; template_reporting_period_display &amp; " [If applicable]"</f>
        <v>B8 – Workforce – General characteristics - Turnover rate from 01/01/2024 to 31/12/2024 [If applicable]</v>
      </c>
      <c r="D40" s="998"/>
      <c r="E40" s="998"/>
      <c r="F40" s="998"/>
      <c r="G40" s="998"/>
      <c r="H40" s="999"/>
    </row>
    <row r="41" spans="3:9" x14ac:dyDescent="0.3">
      <c r="C41" s="529">
        <v>40</v>
      </c>
      <c r="D41" s="530"/>
      <c r="E41" s="530"/>
      <c r="F41" s="530"/>
      <c r="G41" s="530"/>
      <c r="H41" s="531"/>
    </row>
    <row r="42" spans="3:9" x14ac:dyDescent="0.3">
      <c r="C42" s="526">
        <v>183</v>
      </c>
      <c r="D42" s="527"/>
      <c r="E42" s="527"/>
      <c r="F42" s="527"/>
      <c r="G42" s="527"/>
      <c r="H42" s="528"/>
    </row>
    <row r="43" spans="3:9" x14ac:dyDescent="0.3">
      <c r="C43" s="177" t="s">
        <v>4021</v>
      </c>
      <c r="D43" s="986">
        <v>50</v>
      </c>
      <c r="E43" s="986"/>
      <c r="F43" s="986"/>
      <c r="G43" s="986"/>
      <c r="H43" s="987"/>
      <c r="I43" s="15" t="str">
        <f>IF(AND('General Information'!$E$62&lt;50, D43=""),"", IF(AND('General Information'!$E$62&lt;50, D43&lt;&gt;""),"OK", IF(AND('General Information'!$E$62&gt;=50, D43&lt;&gt;""),"OK", "MISSING VALUE")))</f>
        <v>OK</v>
      </c>
    </row>
    <row r="44" spans="3:9" x14ac:dyDescent="0.3">
      <c r="C44" s="177" t="s">
        <v>4022</v>
      </c>
      <c r="D44" s="986">
        <v>201</v>
      </c>
      <c r="E44" s="986"/>
      <c r="F44" s="986"/>
      <c r="G44" s="986"/>
      <c r="H44" s="987"/>
      <c r="I44" s="15" t="str">
        <f>IF(AND('General Information'!$E$62&lt;50, D44=""),"", IF(AND('General Information'!$E$62&lt;50, D44&lt;&gt;""),"OK", IF(AND('General Information'!$E$62&gt;=50, D44&lt;&gt;""),"OK", "MISSING VALUE")))</f>
        <v>OK</v>
      </c>
    </row>
    <row r="45" spans="3:9" x14ac:dyDescent="0.3">
      <c r="C45" s="177" t="s">
        <v>4023</v>
      </c>
      <c r="D45" s="986">
        <v>151</v>
      </c>
      <c r="E45" s="986"/>
      <c r="F45" s="986"/>
      <c r="G45" s="986"/>
      <c r="H45" s="987"/>
      <c r="I45" s="15" t="str">
        <f>IF(AND('General Information'!$E$62&lt;50, D45=""),"", IF(AND('General Information'!$E$62&lt;50, D45&lt;&gt;""),"OK", IF(AND('General Information'!$E$62&gt;=50, D45&lt;&gt;""),"OK", "MISSING VALUE")))</f>
        <v>OK</v>
      </c>
    </row>
    <row r="46" spans="3:9" ht="15" thickBot="1" x14ac:dyDescent="0.35">
      <c r="C46" s="123" t="s">
        <v>4484</v>
      </c>
      <c r="D46" s="988">
        <f>IF(AND(D43&lt;&gt;"",D44&lt;&gt;"",D45&lt;&gt;""),(D43/((D44+D45)/2)),"-")</f>
        <v>0.28409090909090912</v>
      </c>
      <c r="E46" s="988"/>
      <c r="F46" s="988"/>
      <c r="G46" s="988"/>
      <c r="H46" s="989"/>
    </row>
    <row r="47" spans="3:9" ht="15" thickBot="1" x14ac:dyDescent="0.35"/>
    <row r="48" spans="3:9" ht="15" thickBot="1" x14ac:dyDescent="0.35">
      <c r="C48" s="534" t="str">
        <f xml:space="preserve"> "B9 – Workforce – Health and safety " &amp; template_reporting_period_display &amp; " [Always to be reported]"</f>
        <v>B9 – Workforce – Health and safety from 01/01/2024 to 31/12/2024 [Always to be reported]</v>
      </c>
      <c r="D48" s="535"/>
      <c r="E48" s="535"/>
      <c r="F48" s="535"/>
      <c r="G48" s="535"/>
      <c r="H48" s="536"/>
    </row>
    <row r="49" spans="1:9" x14ac:dyDescent="0.3">
      <c r="A49" s="295" t="s">
        <v>4792</v>
      </c>
      <c r="B49" s="300" t="s">
        <v>4794</v>
      </c>
      <c r="C49" s="313" t="s">
        <v>4024</v>
      </c>
      <c r="D49" s="975">
        <v>2</v>
      </c>
      <c r="E49" s="975"/>
      <c r="F49" s="975"/>
      <c r="G49" s="975"/>
      <c r="H49" s="976"/>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6" t="s">
        <v>4792</v>
      </c>
      <c r="B50" s="300" t="s">
        <v>4794</v>
      </c>
      <c r="C50" s="178" t="s">
        <v>4025</v>
      </c>
      <c r="D50" s="977">
        <v>2000</v>
      </c>
      <c r="E50" s="978"/>
      <c r="F50" s="978"/>
      <c r="G50" s="978"/>
      <c r="H50" s="979"/>
      <c r="I50" s="15" t="str">
        <f>IF(D50="", "MISSING VALUE", IF(D50&lt;&gt;2000, "OK", ""))</f>
        <v/>
      </c>
    </row>
    <row r="51" spans="1:9" x14ac:dyDescent="0.3">
      <c r="A51" s="296" t="s">
        <v>4792</v>
      </c>
      <c r="B51" s="300" t="s">
        <v>4794</v>
      </c>
      <c r="C51" s="178" t="s">
        <v>4026</v>
      </c>
      <c r="D51" s="980">
        <f>IF('General Information'!E62="","-",D50*'General Information'!E62)</f>
        <v>302000</v>
      </c>
      <c r="E51" s="981"/>
      <c r="F51" s="981"/>
      <c r="G51" s="981"/>
      <c r="H51" s="982"/>
      <c r="I51" s="15"/>
    </row>
    <row r="52" spans="1:9" ht="15" thickBot="1" x14ac:dyDescent="0.35">
      <c r="A52" s="296" t="s">
        <v>4792</v>
      </c>
      <c r="B52" s="300" t="s">
        <v>4794</v>
      </c>
      <c r="C52" s="242" t="s">
        <v>4470</v>
      </c>
      <c r="D52" s="983">
        <f>IFERROR(IF(AND(D49&lt;&gt;"", D51&lt;&gt;""), ($D$49/$D$51)*200000, "-"), "-")</f>
        <v>1.324503311258278</v>
      </c>
      <c r="E52" s="984"/>
      <c r="F52" s="984"/>
      <c r="G52" s="984"/>
      <c r="H52" s="985"/>
    </row>
    <row r="53" spans="1:9" ht="15" thickBot="1" x14ac:dyDescent="0.35">
      <c r="A53" s="295" t="s">
        <v>4793</v>
      </c>
      <c r="B53" s="303" t="s">
        <v>4794</v>
      </c>
      <c r="C53" s="241" t="s">
        <v>43</v>
      </c>
      <c r="D53" s="971">
        <v>0</v>
      </c>
      <c r="E53" s="971"/>
      <c r="F53" s="971"/>
      <c r="G53" s="971"/>
      <c r="H53" s="972"/>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68" t="str">
        <f xml:space="preserve"> "B10 – Workforce – Remuneration, collective bargaining and training " &amp; template_reporting_period_display &amp; " [Always to be reported + If applicable]"</f>
        <v>B10 – Workforce – Remuneration, collective bargaining and training from 01/01/2024 to 31/12/2024 [Always to be reported + If applicable]</v>
      </c>
      <c r="D55" s="969"/>
      <c r="E55" s="969"/>
      <c r="F55" s="969"/>
      <c r="G55" s="969"/>
      <c r="H55" s="970"/>
    </row>
    <row r="56" spans="1:9" ht="43.8" thickBot="1" x14ac:dyDescent="0.35">
      <c r="A56" s="295" t="s">
        <v>4795</v>
      </c>
      <c r="B56" s="295" t="s">
        <v>4798</v>
      </c>
      <c r="C56" s="239" t="s">
        <v>3781</v>
      </c>
      <c r="D56" s="973" t="s">
        <v>3622</v>
      </c>
      <c r="E56" s="973"/>
      <c r="F56" s="973"/>
      <c r="G56" s="973"/>
      <c r="H56" s="974"/>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6" t="s">
        <v>4796</v>
      </c>
      <c r="B57" s="305" t="s">
        <v>4799</v>
      </c>
      <c r="C57" s="240" t="str">
        <f>"Average gross hourly pay level of male employees (amount in "&amp;template_currency&amp;")""- If applicable"</f>
        <v>Average gross hourly pay level of male employees (amount in EUR  )"- If applicable</v>
      </c>
      <c r="D57" s="946">
        <v>20</v>
      </c>
      <c r="E57" s="947"/>
      <c r="F57" s="947"/>
      <c r="G57" s="947"/>
      <c r="H57" s="948"/>
      <c r="I57" s="15" t="str">
        <f>IF(AND('General Information'!$E$62&lt;150, D57=""),"", IF(AND('General Information'!$E$62&lt;150, D57&lt;&gt;""),"OK", IF(AND('General Information'!$E$62&gt;=150, D57&lt;&gt;""),"OK", "MISSING VALUE")))</f>
        <v>OK</v>
      </c>
    </row>
    <row r="58" spans="1:9" ht="26.4" customHeight="1" x14ac:dyDescent="0.3">
      <c r="A58" s="306" t="s">
        <v>4796</v>
      </c>
      <c r="B58" s="305" t="s">
        <v>4799</v>
      </c>
      <c r="C58" s="179" t="str">
        <f>"Average gross hourly pay level of female employees (amount in " &amp; template_currency &amp; ")""- If applicable"</f>
        <v>Average gross hourly pay level of female employees (amount in EUR  )"- If applicable</v>
      </c>
      <c r="D58" s="949">
        <v>18</v>
      </c>
      <c r="E58" s="950"/>
      <c r="F58" s="950"/>
      <c r="G58" s="950"/>
      <c r="H58" s="951"/>
      <c r="I58" s="15" t="str">
        <f>IF(AND('General Information'!$E$62&lt;150, D58=""),"", IF(AND('General Information'!$E$62&lt;150, D58&lt;&gt;""),"OK", IF(AND('General Information'!$E$62&gt;=150, D58&lt;&gt;""),"OK", "MISSING VALUE")))</f>
        <v>OK</v>
      </c>
    </row>
    <row r="59" spans="1:9" ht="29.4" thickBot="1" x14ac:dyDescent="0.35">
      <c r="A59" s="306" t="s">
        <v>4796</v>
      </c>
      <c r="B59" s="305" t="s">
        <v>4799</v>
      </c>
      <c r="C59" s="180" t="s">
        <v>4486</v>
      </c>
      <c r="D59" s="952">
        <f>IF(AND(D57&lt;&gt;"",D58&lt;&gt;""),((D57-D58)/D57),"-")</f>
        <v>0.1</v>
      </c>
      <c r="E59" s="953"/>
      <c r="F59" s="953"/>
      <c r="G59" s="953"/>
      <c r="H59" s="954"/>
    </row>
    <row r="60" spans="1:9" x14ac:dyDescent="0.3">
      <c r="A60" s="959" t="s">
        <v>4797</v>
      </c>
      <c r="B60" s="961" t="s">
        <v>4800</v>
      </c>
      <c r="C60" s="238" t="s">
        <v>3376</v>
      </c>
      <c r="D60" s="962">
        <v>140</v>
      </c>
      <c r="E60" s="963"/>
      <c r="F60" s="963"/>
      <c r="G60" s="963"/>
      <c r="H60" s="964"/>
      <c r="I60" s="15" t="str">
        <f>IF(AND(OR('General Information'!E32="Option A (Basic Module only)", 'General Information'!E32="Option B (Basic Module and Comprehensive Module)"),D60=""),"MISSING VALUE",IF('General Information'!E32="","","OK"))</f>
        <v>OK</v>
      </c>
    </row>
    <row r="61" spans="1:9" ht="15" thickBot="1" x14ac:dyDescent="0.35">
      <c r="A61" s="960"/>
      <c r="B61" s="724"/>
      <c r="C61" s="180" t="s">
        <v>4007</v>
      </c>
      <c r="D61" s="965">
        <f>IF(D60&lt;&gt;"", IF('General Information'!E62=0, "-", D60/'General Information'!E62), "-")</f>
        <v>0.92715231788079466</v>
      </c>
      <c r="E61" s="966"/>
      <c r="F61" s="966"/>
      <c r="G61" s="966"/>
      <c r="H61" s="967"/>
    </row>
    <row r="62" spans="1:9" ht="15" thickBot="1" x14ac:dyDescent="0.35"/>
    <row r="63" spans="1:9" x14ac:dyDescent="0.3">
      <c r="C63" s="968" t="str">
        <f xml:space="preserve"> "B10 – Workforce – Remuneration, collective bargaining and training " &amp; template_reporting_period_display &amp; " [Always to be reported]"</f>
        <v>B10 – Workforce – Remuneration, collective bargaining and training from 01/01/2024 to 31/12/2024 [Always to be reported]</v>
      </c>
      <c r="D63" s="969"/>
      <c r="E63" s="969"/>
      <c r="F63" s="969"/>
      <c r="G63" s="969"/>
      <c r="H63" s="970"/>
    </row>
    <row r="64" spans="1:9" x14ac:dyDescent="0.3">
      <c r="C64" s="529" t="s">
        <v>4801</v>
      </c>
      <c r="D64" s="530"/>
      <c r="E64" s="530"/>
      <c r="F64" s="530"/>
      <c r="G64" s="530"/>
      <c r="H64" s="531"/>
    </row>
    <row r="65" spans="1:9" x14ac:dyDescent="0.3">
      <c r="C65" s="181" t="s">
        <v>36</v>
      </c>
      <c r="D65" s="955" t="s">
        <v>4485</v>
      </c>
      <c r="E65" s="955"/>
      <c r="F65" s="955"/>
      <c r="G65" s="955"/>
      <c r="H65" s="956"/>
      <c r="I65" s="15"/>
    </row>
    <row r="66" spans="1:9" x14ac:dyDescent="0.3">
      <c r="C66" s="176" t="s">
        <v>37</v>
      </c>
      <c r="D66" s="957">
        <v>100</v>
      </c>
      <c r="E66" s="957"/>
      <c r="F66" s="957"/>
      <c r="G66" s="957"/>
      <c r="H66" s="958"/>
      <c r="I66" s="909" t="str">
        <f>IF(OR('General Information'!E32="Option A (Basic Module only)", 'General Information'!E32="Option B (Basic Module and Comprehensive Module)"), IF(OR(D66&lt;&gt;"", D67&lt;&gt;"", D68&lt;&gt;"", D69&lt;&gt;""), "OK", "MISSING VALUE"), "")</f>
        <v>OK</v>
      </c>
    </row>
    <row r="67" spans="1:9" x14ac:dyDescent="0.3">
      <c r="C67" s="176" t="s">
        <v>38</v>
      </c>
      <c r="D67" s="957">
        <v>150</v>
      </c>
      <c r="E67" s="957"/>
      <c r="F67" s="957"/>
      <c r="G67" s="957"/>
      <c r="H67" s="958"/>
      <c r="I67" s="909"/>
    </row>
    <row r="68" spans="1:9" x14ac:dyDescent="0.3">
      <c r="C68" s="176" t="s">
        <v>39</v>
      </c>
      <c r="D68" s="957">
        <v>140</v>
      </c>
      <c r="E68" s="957"/>
      <c r="F68" s="957"/>
      <c r="G68" s="957"/>
      <c r="H68" s="958"/>
      <c r="I68" s="909"/>
    </row>
    <row r="69" spans="1:9" x14ac:dyDescent="0.3">
      <c r="C69" s="176" t="s">
        <v>40</v>
      </c>
      <c r="D69" s="957">
        <v>120</v>
      </c>
      <c r="E69" s="957"/>
      <c r="F69" s="957"/>
      <c r="G69" s="957"/>
      <c r="H69" s="958"/>
      <c r="I69" s="909"/>
    </row>
    <row r="70" spans="1:9" x14ac:dyDescent="0.3">
      <c r="C70" s="937" t="s">
        <v>3639</v>
      </c>
      <c r="D70" s="938"/>
      <c r="E70" s="938"/>
      <c r="F70" s="938"/>
      <c r="G70" s="938"/>
      <c r="H70" s="939"/>
      <c r="I70" s="15"/>
    </row>
    <row r="71" spans="1:9" ht="15" thickBot="1" x14ac:dyDescent="0.35">
      <c r="C71" s="940">
        <f>IFERROR(
    IF(
        AND(D18&lt;&gt;"",D18&lt;&gt;0,D19&lt;&gt;"",D19&lt;&gt;0,D20&lt;&gt;"",D20&lt;&gt;0,D21&lt;&gt;"",D21&lt;&gt;0),
        AVERAGE(D66:D69),
        IF(OR(D18="", D18=0), AVERAGE(D67:D69),
        IF(OR(D19="", D19=0), AVERAGE(D66,D68,D69),
        IF(OR(D20="", D20=0), AVERAGE(D66,D67,D69),
        IF(OR(D21="", D21=0), AVERAGE(D66,D67,D68), "-"))))
    ),
"-")</f>
        <v>127.5</v>
      </c>
      <c r="D71" s="941"/>
      <c r="E71" s="941"/>
      <c r="F71" s="941"/>
      <c r="G71" s="941"/>
      <c r="H71" s="942"/>
      <c r="I71" s="15"/>
    </row>
    <row r="72" spans="1:9" ht="15" thickBot="1" x14ac:dyDescent="0.35"/>
    <row r="73" spans="1:9" ht="15" thickBot="1" x14ac:dyDescent="0.35">
      <c r="C73" s="943" t="str">
        <f xml:space="preserve"> "C5 – Additional (general) workforce characteristics " &amp; template_reporting_period_display &amp; " [May (optional)]"</f>
        <v>C5 – Additional (general) workforce characteristics from 01/01/2024 to 31/12/2024 [May (optional)]</v>
      </c>
      <c r="D73" s="944"/>
      <c r="E73" s="944"/>
      <c r="F73" s="944"/>
      <c r="G73" s="944"/>
      <c r="H73" s="945"/>
    </row>
    <row r="74" spans="1:9" x14ac:dyDescent="0.3">
      <c r="A74" s="306">
        <v>59</v>
      </c>
      <c r="B74" s="304" t="s">
        <v>4802</v>
      </c>
      <c r="C74" s="182" t="s">
        <v>3998</v>
      </c>
      <c r="D74" s="946">
        <v>5</v>
      </c>
      <c r="E74" s="947"/>
      <c r="F74" s="947"/>
      <c r="G74" s="947"/>
      <c r="H74" s="948"/>
      <c r="I74" s="15" t="str">
        <f>IF(D74&lt;&gt;"", "OK", "")</f>
        <v>OK</v>
      </c>
    </row>
    <row r="75" spans="1:9" x14ac:dyDescent="0.3">
      <c r="A75" s="306">
        <v>59</v>
      </c>
      <c r="B75" s="304" t="s">
        <v>4802</v>
      </c>
      <c r="C75" s="183" t="s">
        <v>3377</v>
      </c>
      <c r="D75" s="949">
        <v>4</v>
      </c>
      <c r="E75" s="950"/>
      <c r="F75" s="950"/>
      <c r="G75" s="950"/>
      <c r="H75" s="951"/>
      <c r="I75" s="15" t="str">
        <f t="shared" ref="I75:I78" si="1">IF(D75&lt;&gt;"", "OK", "")</f>
        <v>OK</v>
      </c>
    </row>
    <row r="76" spans="1:9" ht="15" thickBot="1" x14ac:dyDescent="0.35">
      <c r="A76" s="306">
        <v>59</v>
      </c>
      <c r="B76" s="304" t="s">
        <v>4802</v>
      </c>
      <c r="C76" s="180" t="s">
        <v>3635</v>
      </c>
      <c r="D76" s="952">
        <f>IF(AND(D74&lt;&gt;"",D75&lt;&gt;""),$D$75/$D$74,"-")</f>
        <v>0.8</v>
      </c>
      <c r="E76" s="953"/>
      <c r="F76" s="953"/>
      <c r="G76" s="953"/>
      <c r="H76" s="954"/>
    </row>
    <row r="77" spans="1:9" ht="28.8" x14ac:dyDescent="0.3">
      <c r="A77" s="295">
        <v>60</v>
      </c>
      <c r="B77" s="300" t="s">
        <v>4803</v>
      </c>
      <c r="C77" s="184" t="s">
        <v>3782</v>
      </c>
      <c r="D77" s="928">
        <v>4</v>
      </c>
      <c r="E77" s="929"/>
      <c r="F77" s="929"/>
      <c r="G77" s="929"/>
      <c r="H77" s="930"/>
      <c r="I77" s="15" t="str">
        <f t="shared" si="1"/>
        <v>OK</v>
      </c>
    </row>
    <row r="78" spans="1:9" ht="29.4" thickBot="1" x14ac:dyDescent="0.35">
      <c r="A78" s="295">
        <v>60</v>
      </c>
      <c r="B78" s="303" t="s">
        <v>4803</v>
      </c>
      <c r="C78" s="185" t="s">
        <v>46</v>
      </c>
      <c r="D78" s="931">
        <v>50</v>
      </c>
      <c r="E78" s="932"/>
      <c r="F78" s="932"/>
      <c r="G78" s="932"/>
      <c r="H78" s="933"/>
      <c r="I78" s="15" t="str">
        <f t="shared" si="1"/>
        <v>OK</v>
      </c>
    </row>
    <row r="79" spans="1:9" ht="15" thickBot="1" x14ac:dyDescent="0.35"/>
    <row r="80" spans="1:9" x14ac:dyDescent="0.3">
      <c r="C80" s="919" t="str">
        <f xml:space="preserve"> "C6 – Additional own workforce information - Human rights policies and processes " &amp; template_reporting_period_display &amp; " [Always to be reported]"</f>
        <v>C6 – Additional own workforce information - Human rights policies and processes from 01/01/2024 to 31/12/2024 [Always to be reported]</v>
      </c>
      <c r="D80" s="920"/>
      <c r="E80" s="920"/>
      <c r="F80" s="920"/>
      <c r="G80" s="920"/>
      <c r="H80" s="921"/>
    </row>
    <row r="81" spans="1:9" ht="28.8" x14ac:dyDescent="0.3">
      <c r="A81" s="295" t="s">
        <v>4804</v>
      </c>
      <c r="B81" s="300">
        <v>237</v>
      </c>
      <c r="C81" s="186" t="s">
        <v>48</v>
      </c>
      <c r="D81" s="934" t="s">
        <v>3622</v>
      </c>
      <c r="E81" s="935"/>
      <c r="F81" s="935"/>
      <c r="G81" s="935"/>
      <c r="H81" s="936"/>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6" t="s">
        <v>4805</v>
      </c>
      <c r="B82" s="300">
        <v>237</v>
      </c>
      <c r="C82" s="149" t="s">
        <v>49</v>
      </c>
      <c r="D82" s="922"/>
      <c r="E82" s="923"/>
      <c r="F82" s="923"/>
      <c r="G82" s="923"/>
      <c r="H82" s="924"/>
    </row>
    <row r="83" spans="1:9" x14ac:dyDescent="0.3">
      <c r="A83" s="296" t="s">
        <v>4805</v>
      </c>
      <c r="B83" s="300">
        <v>237</v>
      </c>
      <c r="C83" s="187" t="s">
        <v>3371</v>
      </c>
      <c r="D83" s="925" t="b">
        <v>1</v>
      </c>
      <c r="E83" s="925"/>
      <c r="F83" s="925"/>
      <c r="G83" s="925"/>
      <c r="H83" s="926"/>
      <c r="I83" s="909"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6" t="s">
        <v>4805</v>
      </c>
      <c r="B84" s="300">
        <v>237</v>
      </c>
      <c r="C84" s="187" t="s">
        <v>3372</v>
      </c>
      <c r="D84" s="925" t="b">
        <v>1</v>
      </c>
      <c r="E84" s="925"/>
      <c r="F84" s="925"/>
      <c r="G84" s="925"/>
      <c r="H84" s="926"/>
      <c r="I84" s="909"/>
    </row>
    <row r="85" spans="1:9" x14ac:dyDescent="0.3">
      <c r="A85" s="296" t="s">
        <v>4805</v>
      </c>
      <c r="B85" s="300">
        <v>237</v>
      </c>
      <c r="C85" s="187" t="s">
        <v>3373</v>
      </c>
      <c r="D85" s="925" t="b">
        <v>1</v>
      </c>
      <c r="E85" s="925"/>
      <c r="F85" s="925"/>
      <c r="G85" s="925"/>
      <c r="H85" s="926"/>
      <c r="I85" s="909"/>
    </row>
    <row r="86" spans="1:9" x14ac:dyDescent="0.3">
      <c r="A86" s="296" t="s">
        <v>4805</v>
      </c>
      <c r="B86" s="300">
        <v>237</v>
      </c>
      <c r="C86" s="187" t="s">
        <v>3374</v>
      </c>
      <c r="D86" s="925" t="b">
        <v>1</v>
      </c>
      <c r="E86" s="925"/>
      <c r="F86" s="925"/>
      <c r="G86" s="925"/>
      <c r="H86" s="926"/>
      <c r="I86" s="909"/>
    </row>
    <row r="87" spans="1:9" x14ac:dyDescent="0.3">
      <c r="A87" s="296" t="s">
        <v>4805</v>
      </c>
      <c r="B87" s="300">
        <v>237</v>
      </c>
      <c r="C87" s="188" t="s">
        <v>3375</v>
      </c>
      <c r="D87" s="927" t="b">
        <v>1</v>
      </c>
      <c r="E87" s="925"/>
      <c r="F87" s="925"/>
      <c r="G87" s="925"/>
      <c r="H87" s="926"/>
      <c r="I87" s="909"/>
    </row>
    <row r="88" spans="1:9" x14ac:dyDescent="0.3">
      <c r="A88" s="296" t="s">
        <v>4805</v>
      </c>
      <c r="B88" s="300">
        <v>237</v>
      </c>
      <c r="C88" s="189" t="s">
        <v>4019</v>
      </c>
      <c r="D88" s="925" t="b">
        <v>0</v>
      </c>
      <c r="E88" s="925"/>
      <c r="F88" s="925"/>
      <c r="G88" s="925"/>
      <c r="H88" s="926"/>
      <c r="I88" s="909"/>
    </row>
    <row r="89" spans="1:9" ht="33.6" customHeight="1" x14ac:dyDescent="0.3">
      <c r="A89" s="296" t="s">
        <v>4805</v>
      </c>
      <c r="B89" s="300">
        <v>237</v>
      </c>
      <c r="C89" s="121" t="s">
        <v>4020</v>
      </c>
      <c r="D89" s="914"/>
      <c r="E89" s="914"/>
      <c r="F89" s="914"/>
      <c r="G89" s="914"/>
      <c r="H89" s="915"/>
      <c r="I89" s="15" t="str">
        <f>IF(AND(D88=TRUE,D89&lt;&gt;""),"OK",IF(AND(D88=TRUE,D89=""),"MISSING VALUE",IF(AND(D88=FALSE,D89&lt;&gt;""),"MISSING VALUE","")))</f>
        <v/>
      </c>
    </row>
    <row r="90" spans="1:9" ht="31.2" customHeight="1" thickBot="1" x14ac:dyDescent="0.35">
      <c r="A90" s="297" t="s">
        <v>4806</v>
      </c>
      <c r="B90" s="303">
        <v>237</v>
      </c>
      <c r="C90" s="190" t="s">
        <v>3743</v>
      </c>
      <c r="D90" s="916" t="s">
        <v>3622</v>
      </c>
      <c r="E90" s="917"/>
      <c r="F90" s="917"/>
      <c r="G90" s="917"/>
      <c r="H90" s="918"/>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19" t="str">
        <f xml:space="preserve"> "C7 – Severe negative human rights incidents " &amp; template_reporting_period_display &amp; " [Always to be reported]"</f>
        <v>C7 – Severe negative human rights incidents from 01/01/2024 to 31/12/2024 [Always to be reported]</v>
      </c>
      <c r="D92" s="920"/>
      <c r="E92" s="920"/>
      <c r="F92" s="920"/>
      <c r="G92" s="920"/>
      <c r="H92" s="921"/>
    </row>
    <row r="93" spans="1:9" x14ac:dyDescent="0.3">
      <c r="A93" s="295">
        <v>62</v>
      </c>
      <c r="B93" s="300">
        <v>238</v>
      </c>
      <c r="C93" s="191" t="s">
        <v>3741</v>
      </c>
      <c r="D93" s="665" t="s">
        <v>3623</v>
      </c>
      <c r="E93" s="665"/>
      <c r="F93" s="665"/>
      <c r="G93" s="665"/>
      <c r="H93" s="905"/>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5" t="s">
        <v>4807</v>
      </c>
      <c r="B94" s="300">
        <v>238</v>
      </c>
      <c r="C94" s="191" t="s">
        <v>3740</v>
      </c>
      <c r="D94" s="922"/>
      <c r="E94" s="923"/>
      <c r="F94" s="923"/>
      <c r="G94" s="923"/>
      <c r="H94" s="924"/>
    </row>
    <row r="95" spans="1:9" x14ac:dyDescent="0.3">
      <c r="A95" s="295" t="s">
        <v>4807</v>
      </c>
      <c r="B95" s="300">
        <v>238</v>
      </c>
      <c r="C95" s="189" t="s">
        <v>3371</v>
      </c>
      <c r="D95" s="910" t="b">
        <v>0</v>
      </c>
      <c r="E95" s="910"/>
      <c r="F95" s="910"/>
      <c r="G95" s="910"/>
      <c r="H95" s="911"/>
      <c r="I95" s="909"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4807</v>
      </c>
      <c r="B96" s="300">
        <v>238</v>
      </c>
      <c r="C96" s="189" t="s">
        <v>3372</v>
      </c>
      <c r="D96" s="910" t="b">
        <v>0</v>
      </c>
      <c r="E96" s="910"/>
      <c r="F96" s="910"/>
      <c r="G96" s="910"/>
      <c r="H96" s="911"/>
      <c r="I96" s="909"/>
    </row>
    <row r="97" spans="1:9" x14ac:dyDescent="0.3">
      <c r="A97" s="295" t="s">
        <v>4807</v>
      </c>
      <c r="B97" s="300">
        <v>238</v>
      </c>
      <c r="C97" s="189" t="s">
        <v>3373</v>
      </c>
      <c r="D97" s="910" t="b">
        <v>0</v>
      </c>
      <c r="E97" s="910"/>
      <c r="F97" s="910"/>
      <c r="G97" s="910"/>
      <c r="H97" s="911"/>
      <c r="I97" s="909"/>
    </row>
    <row r="98" spans="1:9" x14ac:dyDescent="0.3">
      <c r="A98" s="295" t="s">
        <v>4807</v>
      </c>
      <c r="B98" s="300">
        <v>238</v>
      </c>
      <c r="C98" s="189" t="s">
        <v>3374</v>
      </c>
      <c r="D98" s="910" t="b">
        <v>0</v>
      </c>
      <c r="E98" s="910"/>
      <c r="F98" s="910"/>
      <c r="G98" s="910"/>
      <c r="H98" s="911"/>
      <c r="I98" s="909"/>
    </row>
    <row r="99" spans="1:9" x14ac:dyDescent="0.3">
      <c r="A99" s="295" t="s">
        <v>4807</v>
      </c>
      <c r="B99" s="300">
        <v>238</v>
      </c>
      <c r="C99" s="189" t="s">
        <v>4019</v>
      </c>
      <c r="D99" s="910" t="b">
        <v>0</v>
      </c>
      <c r="E99" s="910"/>
      <c r="F99" s="910"/>
      <c r="G99" s="910"/>
      <c r="H99" s="911"/>
      <c r="I99" s="909"/>
    </row>
    <row r="100" spans="1:9" x14ac:dyDescent="0.3">
      <c r="A100" s="295" t="s">
        <v>4807</v>
      </c>
      <c r="B100" s="300">
        <v>238</v>
      </c>
      <c r="C100" s="121" t="s">
        <v>4468</v>
      </c>
      <c r="D100" s="912"/>
      <c r="E100" s="912"/>
      <c r="F100" s="912"/>
      <c r="G100" s="912"/>
      <c r="H100" s="913"/>
      <c r="I100" s="15" t="str">
        <f>IF(AND(D99=TRUE,D100&lt;&gt;""),"OK",IF(AND(D99=TRUE,D100=""),"MISSING VALUE",IF(AND(D99=FALSE,D100&lt;&gt;""),"MISSING VALUE","")))</f>
        <v/>
      </c>
    </row>
    <row r="101" spans="1:9" x14ac:dyDescent="0.3">
      <c r="A101" s="307" t="s">
        <v>4808</v>
      </c>
      <c r="B101" s="300">
        <v>238</v>
      </c>
      <c r="C101" s="121" t="s">
        <v>4467</v>
      </c>
      <c r="D101" s="902"/>
      <c r="E101" s="903"/>
      <c r="F101" s="903"/>
      <c r="G101" s="903"/>
      <c r="H101" s="904"/>
      <c r="I101" s="15" t="str">
        <f>IF(D101&lt;&gt;"","OK","")</f>
        <v/>
      </c>
    </row>
    <row r="102" spans="1:9" ht="28.8" x14ac:dyDescent="0.3">
      <c r="A102" s="295" t="s">
        <v>4734</v>
      </c>
      <c r="B102" s="300">
        <v>238</v>
      </c>
      <c r="C102" s="149" t="s">
        <v>3629</v>
      </c>
      <c r="D102" s="665" t="s">
        <v>3623</v>
      </c>
      <c r="E102" s="665"/>
      <c r="F102" s="665"/>
      <c r="G102" s="665"/>
      <c r="H102" s="905"/>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5" t="s">
        <v>4734</v>
      </c>
      <c r="B103" s="303">
        <v>238</v>
      </c>
      <c r="C103" s="284" t="s">
        <v>4027</v>
      </c>
      <c r="D103" s="906"/>
      <c r="E103" s="906"/>
      <c r="F103" s="906"/>
      <c r="G103" s="906"/>
      <c r="H103" s="907"/>
      <c r="I103" s="15" t="str">
        <f>IF(AND(D102="YES",D103&lt;&gt;""),"OK",IF(AND(D102="YES",D103=""),"MISSING VALUE",IF(AND(D102="NO",D103&lt;&gt;""),"MISSING VALUE","")))</f>
        <v/>
      </c>
    </row>
    <row r="106" spans="1:9" ht="15" thickBot="1" x14ac:dyDescent="0.35"/>
    <row r="107" spans="1:9" x14ac:dyDescent="0.3">
      <c r="C107" s="592" t="str">
        <f>+ "Disclosure of any other social and/or entity specific social disclosures " &amp; template_reporting_period_display &amp; " [May (optional)] "</f>
        <v xml:space="preserve">Disclosure of any other social and/or entity specific social disclosures from 01/01/2024 to 31/12/2024 [May (optional)] </v>
      </c>
      <c r="D107" s="593"/>
      <c r="E107" s="593"/>
      <c r="F107" s="593"/>
      <c r="G107" s="593"/>
      <c r="H107" s="594"/>
    </row>
    <row r="108" spans="1:9" x14ac:dyDescent="0.3">
      <c r="C108" s="852">
        <v>10</v>
      </c>
      <c r="D108" s="590"/>
      <c r="E108" s="590"/>
      <c r="F108" s="590"/>
      <c r="G108" s="590"/>
      <c r="H108" s="591"/>
    </row>
    <row r="109" spans="1:9" ht="15" thickBot="1" x14ac:dyDescent="0.35">
      <c r="C109" s="586"/>
      <c r="D109" s="587"/>
      <c r="E109" s="587"/>
      <c r="F109" s="587"/>
      <c r="G109" s="587"/>
      <c r="H109" s="908"/>
      <c r="I109" s="15" t="str">
        <f>IF(C109&lt;&gt;"", "OK", "")</f>
        <v/>
      </c>
    </row>
  </sheetData>
  <sheetProtection algorithmName="SHA-512" hashValue="qniUI1dy1kVJ+mLJOTNaUMaPMKipEKd11QjAxOwUi9IiqjI8BeIV3M99JpHXQ6gSSCmxKwpfEGBYI4SKycFH5g==" saltValue="ZIfysWVXAT4vloER2Rs4eA=="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37" zoomScaleNormal="100" workbookViewId="0">
      <selection activeCell="J38" sqref="J38"/>
    </sheetView>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4747</v>
      </c>
      <c r="B1" s="311" t="s">
        <v>4746</v>
      </c>
      <c r="C1" s="10"/>
      <c r="D1" s="10"/>
      <c r="E1" s="10"/>
      <c r="F1" s="10"/>
      <c r="G1" s="10"/>
      <c r="H1" s="10"/>
    </row>
    <row r="2" spans="1:9" x14ac:dyDescent="0.3">
      <c r="A2" s="10"/>
      <c r="B2" s="10"/>
      <c r="C2" s="514" t="str">
        <f xml:space="preserve"> "B11 – Convictions and fines for corruption and bribery "&amp; template_reporting_period_display &amp; " [If applicable]"</f>
        <v>B11 – Convictions and fines for corruption and bribery from 01/01/2024 to 31/12/2024 [If applicable]</v>
      </c>
      <c r="D2" s="515"/>
      <c r="E2" s="515"/>
      <c r="F2" s="515"/>
      <c r="G2" s="515"/>
      <c r="H2" s="516"/>
    </row>
    <row r="3" spans="1:9" x14ac:dyDescent="0.3">
      <c r="A3" s="10"/>
      <c r="B3" s="10"/>
      <c r="C3" s="1032">
        <v>43</v>
      </c>
      <c r="D3" s="1033"/>
      <c r="E3" s="1033"/>
      <c r="F3" s="1033"/>
      <c r="G3" s="1033"/>
      <c r="H3" s="1034"/>
    </row>
    <row r="4" spans="1:9" x14ac:dyDescent="0.3">
      <c r="A4" s="10"/>
      <c r="B4" s="10"/>
      <c r="C4" s="1035" t="s">
        <v>4809</v>
      </c>
      <c r="D4" s="1036"/>
      <c r="E4" s="1036"/>
      <c r="F4" s="1036"/>
      <c r="G4" s="1036"/>
      <c r="H4" s="1037"/>
    </row>
    <row r="5" spans="1:9" s="10" customFormat="1" x14ac:dyDescent="0.3">
      <c r="C5" s="1060" t="s">
        <v>3999</v>
      </c>
      <c r="D5" s="1061"/>
      <c r="E5" s="1061"/>
      <c r="F5" s="1061"/>
      <c r="G5" s="1061"/>
      <c r="H5" s="192" t="b">
        <v>1</v>
      </c>
      <c r="I5" s="15"/>
    </row>
    <row r="6" spans="1:9" s="10" customFormat="1" ht="21.6" customHeight="1" x14ac:dyDescent="0.3">
      <c r="C6" s="1052" t="s">
        <v>4028</v>
      </c>
      <c r="D6" s="1053"/>
      <c r="E6" s="1053"/>
      <c r="F6" s="1053"/>
      <c r="G6" s="1054"/>
      <c r="H6" s="345">
        <v>1</v>
      </c>
      <c r="I6" s="15" t="str">
        <f>IF(AND($H$5=TRUE,H6&lt;&gt;""),"OK",IF(AND($H$5=TRUE,H6=""),"MISSING VALUE",""))</f>
        <v>OK</v>
      </c>
    </row>
    <row r="7" spans="1:9" s="10" customFormat="1" ht="15" thickBot="1" x14ac:dyDescent="0.35">
      <c r="C7" s="1055" t="str">
        <f>"Total amount of fines for the violation of anti-corruption and anti_x0002_bribery laws (monetary amount) in " &amp;  template_currency</f>
        <v xml:space="preserve">Total amount of fines for the violation of anti-corruption and anti_x0002_bribery laws (monetary amount) in EUR  </v>
      </c>
      <c r="D7" s="1056"/>
      <c r="E7" s="1056"/>
      <c r="F7" s="1056"/>
      <c r="G7" s="1057"/>
      <c r="H7" s="346">
        <v>5000</v>
      </c>
      <c r="I7" s="15" t="str">
        <f>IF(AND($H$5=TRUE,H7&lt;&gt;""),"OK",IF(AND($H$5=TRUE,H7=""),"MISSING VALUE",""))</f>
        <v>OK</v>
      </c>
    </row>
    <row r="8" spans="1:9" s="10" customFormat="1" ht="15" thickBot="1" x14ac:dyDescent="0.35">
      <c r="I8" s="15"/>
    </row>
    <row r="9" spans="1:9" s="10" customFormat="1" x14ac:dyDescent="0.3">
      <c r="C9" s="761" t="str">
        <f xml:space="preserve"> "C8 – Revenues from certain sectors " &amp; template_reporting_period_display &amp; " [If applicable]"</f>
        <v>C8 – Revenues from certain sectors from 01/01/2024 to 31/12/2024 [If applicable]</v>
      </c>
      <c r="D9" s="1027"/>
      <c r="E9" s="1027"/>
      <c r="F9" s="1027"/>
      <c r="G9" s="1027"/>
      <c r="H9" s="1028"/>
      <c r="I9" s="15"/>
    </row>
    <row r="10" spans="1:9" ht="28.2" customHeight="1" x14ac:dyDescent="0.3">
      <c r="A10" s="10"/>
      <c r="B10" s="10"/>
      <c r="C10" s="1060" t="s">
        <v>4000</v>
      </c>
      <c r="D10" s="1061"/>
      <c r="E10" s="1061"/>
      <c r="F10" s="1061"/>
      <c r="G10" s="1061"/>
      <c r="H10" s="193" t="b">
        <v>0</v>
      </c>
    </row>
    <row r="11" spans="1:9" x14ac:dyDescent="0.3">
      <c r="A11" s="10"/>
      <c r="B11" s="10"/>
      <c r="C11" s="1042"/>
      <c r="D11" s="1043"/>
      <c r="E11" s="1043"/>
      <c r="F11" s="1043"/>
      <c r="G11" s="1043"/>
      <c r="H11" s="56" t="str">
        <f xml:space="preserve"> "Monetary amount in " &amp; template_currency</f>
        <v xml:space="preserve">Monetary amount in EUR  </v>
      </c>
    </row>
    <row r="12" spans="1:9" s="10" customFormat="1" ht="32.4" customHeight="1" x14ac:dyDescent="0.3">
      <c r="A12" s="298" t="s">
        <v>4810</v>
      </c>
      <c r="B12" s="299" t="s">
        <v>4814</v>
      </c>
      <c r="C12" s="509" t="s">
        <v>3771</v>
      </c>
      <c r="D12" s="510"/>
      <c r="E12" s="510"/>
      <c r="F12" s="510"/>
      <c r="G12" s="510"/>
      <c r="H12" s="341"/>
      <c r="I12" s="1062" t="str">
        <f>IF(AND(H10=FALSE,COUNTA(H12:H16)=0, H18=""),
    "",
    IF(AND(OR(COUNTA(H12:H16)&gt;0, H18&lt;&gt;""), SUM(H12:H16, H18)&lt;='General Information'!E61),
        "OK",
        IF(AND(H10=TRUE, COUNTA(H12:H16)=0, H18=""),
            "MISSING VALUE",
            "VALUE INCONSISTENCY"
        )
    )
)</f>
        <v/>
      </c>
    </row>
    <row r="13" spans="1:9" s="10" customFormat="1" ht="15" thickBot="1" x14ac:dyDescent="0.35">
      <c r="A13" s="298" t="s">
        <v>4811</v>
      </c>
      <c r="B13" s="299" t="s">
        <v>4814</v>
      </c>
      <c r="C13" s="768" t="s">
        <v>3770</v>
      </c>
      <c r="D13" s="769"/>
      <c r="E13" s="769"/>
      <c r="F13" s="769"/>
      <c r="G13" s="769"/>
      <c r="H13" s="342"/>
      <c r="I13" s="1062"/>
    </row>
    <row r="14" spans="1:9" s="10" customFormat="1" x14ac:dyDescent="0.3">
      <c r="A14" s="308" t="s">
        <v>4812</v>
      </c>
      <c r="B14" s="299" t="s">
        <v>4814</v>
      </c>
      <c r="C14" s="1063" t="s">
        <v>3769</v>
      </c>
      <c r="D14" s="1064"/>
      <c r="E14" s="1064"/>
      <c r="F14" s="1064"/>
      <c r="G14" s="1064"/>
      <c r="H14" s="343"/>
      <c r="I14" s="1062"/>
    </row>
    <row r="15" spans="1:9" s="10" customFormat="1" x14ac:dyDescent="0.3">
      <c r="A15" s="308" t="s">
        <v>4812</v>
      </c>
      <c r="B15" s="299" t="s">
        <v>4814</v>
      </c>
      <c r="C15" s="509" t="s">
        <v>3768</v>
      </c>
      <c r="D15" s="510"/>
      <c r="E15" s="510"/>
      <c r="F15" s="510"/>
      <c r="G15" s="510"/>
      <c r="H15" s="341"/>
      <c r="I15" s="1062"/>
    </row>
    <row r="16" spans="1:9" s="10" customFormat="1" x14ac:dyDescent="0.3">
      <c r="A16" s="308" t="s">
        <v>4812</v>
      </c>
      <c r="B16" s="299" t="s">
        <v>4814</v>
      </c>
      <c r="C16" s="509" t="s">
        <v>3767</v>
      </c>
      <c r="D16" s="510"/>
      <c r="E16" s="510"/>
      <c r="F16" s="510"/>
      <c r="G16" s="510"/>
      <c r="H16" s="341"/>
      <c r="I16" s="1062"/>
    </row>
    <row r="17" spans="1:9" s="10" customFormat="1" ht="60.6" customHeight="1" thickBot="1" x14ac:dyDescent="0.35">
      <c r="A17" s="308" t="s">
        <v>4812</v>
      </c>
      <c r="B17" s="299" t="s">
        <v>4814</v>
      </c>
      <c r="C17" s="1058" t="s">
        <v>4029</v>
      </c>
      <c r="D17" s="1059"/>
      <c r="E17" s="1059"/>
      <c r="F17" s="1059"/>
      <c r="G17" s="1059"/>
      <c r="H17" s="336" t="str">
        <f>IF(COUNTA(H14:H16)=0, "-", SUM(H14:H16))</f>
        <v>-</v>
      </c>
      <c r="I17" s="1062"/>
    </row>
    <row r="18" spans="1:9" s="10" customFormat="1" ht="15" thickBot="1" x14ac:dyDescent="0.35">
      <c r="A18" s="298" t="s">
        <v>4813</v>
      </c>
      <c r="B18" s="299" t="s">
        <v>4814</v>
      </c>
      <c r="C18" s="895" t="s">
        <v>3766</v>
      </c>
      <c r="D18" s="1041"/>
      <c r="E18" s="1041"/>
      <c r="F18" s="1041"/>
      <c r="G18" s="1041"/>
      <c r="H18" s="344"/>
      <c r="I18" s="1062"/>
    </row>
    <row r="19" spans="1:9" s="10" customFormat="1" ht="15" thickBot="1" x14ac:dyDescent="0.35">
      <c r="I19" s="15"/>
    </row>
    <row r="20" spans="1:9" s="10" customFormat="1" x14ac:dyDescent="0.3">
      <c r="B20" s="290"/>
      <c r="C20" s="761" t="str">
        <f xml:space="preserve"> "C8 – Exclusion from EU reference benchmarks " &amp; template_reporting_period_display &amp; " [Always to be reported]"</f>
        <v>C8 – Exclusion from EU reference benchmarks from 01/01/2024 to 31/12/2024 [Always to be reported]</v>
      </c>
      <c r="D20" s="1027"/>
      <c r="E20" s="1027"/>
      <c r="F20" s="1027"/>
      <c r="G20" s="1027"/>
      <c r="H20" s="1028"/>
      <c r="I20" s="15"/>
    </row>
    <row r="21" spans="1:9" s="10" customFormat="1" x14ac:dyDescent="0.3">
      <c r="B21" s="291"/>
      <c r="C21" s="1038" t="s">
        <v>3370</v>
      </c>
      <c r="D21" s="1039"/>
      <c r="E21" s="1039"/>
      <c r="F21" s="1039"/>
      <c r="G21" s="1039"/>
      <c r="H21" s="1040"/>
      <c r="I21" s="15"/>
    </row>
    <row r="22" spans="1:9" s="10" customFormat="1" ht="30" customHeight="1" x14ac:dyDescent="0.3">
      <c r="A22" s="298">
        <v>64</v>
      </c>
      <c r="B22" s="298" t="s">
        <v>4815</v>
      </c>
      <c r="C22" s="1044" t="s">
        <v>3294</v>
      </c>
      <c r="D22" s="1044"/>
      <c r="E22" s="1044"/>
      <c r="F22" s="1044"/>
      <c r="G22" s="1045"/>
      <c r="H22" s="194" t="b">
        <v>0</v>
      </c>
      <c r="I22" s="909"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8">
        <v>64</v>
      </c>
      <c r="B23" s="298" t="s">
        <v>4816</v>
      </c>
      <c r="C23" s="1046" t="s">
        <v>3293</v>
      </c>
      <c r="D23" s="1046"/>
      <c r="E23" s="1046"/>
      <c r="F23" s="1046"/>
      <c r="G23" s="1047"/>
      <c r="H23" s="195" t="b">
        <v>0</v>
      </c>
      <c r="I23" s="909"/>
    </row>
    <row r="24" spans="1:9" s="10" customFormat="1" ht="32.4" customHeight="1" x14ac:dyDescent="0.3">
      <c r="A24" s="298">
        <v>64</v>
      </c>
      <c r="B24" s="298" t="s">
        <v>4817</v>
      </c>
      <c r="C24" s="1048" t="s">
        <v>3292</v>
      </c>
      <c r="D24" s="1048"/>
      <c r="E24" s="1048"/>
      <c r="F24" s="1048"/>
      <c r="G24" s="1049"/>
      <c r="H24" s="195" t="b">
        <v>0</v>
      </c>
      <c r="I24" s="909"/>
    </row>
    <row r="25" spans="1:9" s="10" customFormat="1" ht="31.2" customHeight="1" thickBot="1" x14ac:dyDescent="0.35">
      <c r="A25" s="298">
        <v>64</v>
      </c>
      <c r="B25" s="298" t="s">
        <v>4818</v>
      </c>
      <c r="C25" s="1050" t="s">
        <v>4031</v>
      </c>
      <c r="D25" s="1050"/>
      <c r="E25" s="1050"/>
      <c r="F25" s="1050"/>
      <c r="G25" s="1051"/>
      <c r="H25" s="196" t="b">
        <v>0</v>
      </c>
      <c r="I25" s="909"/>
    </row>
    <row r="26" spans="1:9" s="10" customFormat="1" ht="15" thickBot="1" x14ac:dyDescent="0.35">
      <c r="B26" s="290"/>
      <c r="C26" s="1068" t="s">
        <v>3644</v>
      </c>
      <c r="D26" s="1069"/>
      <c r="E26" s="1069"/>
      <c r="F26" s="1069"/>
      <c r="G26" s="1070"/>
      <c r="H26" s="197" t="b">
        <v>1</v>
      </c>
      <c r="I26" s="909"/>
    </row>
    <row r="27" spans="1:9" s="10" customFormat="1" ht="15" thickBot="1" x14ac:dyDescent="0.35">
      <c r="A27" s="298">
        <v>64</v>
      </c>
      <c r="B27" s="309">
        <v>241</v>
      </c>
      <c r="C27" s="1071" t="s">
        <v>3744</v>
      </c>
      <c r="D27" s="1072"/>
      <c r="E27" s="1072"/>
      <c r="F27" s="1072"/>
      <c r="G27" s="1073"/>
      <c r="H27" s="21"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29" t="str">
        <f>"C9 – Gender diversity ratio in the governance body " &amp; template_ending_date_display &amp; "  [If applicable]"</f>
        <v>C9 – Gender diversity ratio in the governance body at 31/12/2024  [If applicable]</v>
      </c>
      <c r="D29" s="1030"/>
      <c r="E29" s="1030"/>
      <c r="F29" s="1030"/>
      <c r="G29" s="1030"/>
      <c r="H29" s="1031"/>
      <c r="I29" s="15"/>
    </row>
    <row r="30" spans="1:9" s="10" customFormat="1" x14ac:dyDescent="0.3">
      <c r="C30" s="1060" t="s">
        <v>4001</v>
      </c>
      <c r="D30" s="1061"/>
      <c r="E30" s="1061"/>
      <c r="F30" s="1061"/>
      <c r="G30" s="1061"/>
      <c r="H30" s="193" t="b">
        <v>1</v>
      </c>
      <c r="I30" s="15"/>
    </row>
    <row r="31" spans="1:9" s="10" customFormat="1" x14ac:dyDescent="0.3">
      <c r="A31" s="1036">
        <v>65</v>
      </c>
      <c r="B31" s="1076" t="s">
        <v>4819</v>
      </c>
      <c r="C31" s="1060" t="s">
        <v>4478</v>
      </c>
      <c r="D31" s="1061"/>
      <c r="E31" s="1061"/>
      <c r="F31" s="1061"/>
      <c r="G31" s="1061"/>
      <c r="H31" s="341">
        <v>5</v>
      </c>
      <c r="I31" s="15" t="str">
        <f>IF(AND($H$30=TRUE,H31&lt;&gt;""),"OK",IF(AND($H$30=TRUE,H31=""),"MISSING VALUE",""))</f>
        <v>OK</v>
      </c>
    </row>
    <row r="32" spans="1:9" s="10" customFormat="1" x14ac:dyDescent="0.3">
      <c r="A32" s="1074"/>
      <c r="B32" s="1077"/>
      <c r="C32" s="1060" t="s">
        <v>4479</v>
      </c>
      <c r="D32" s="1061"/>
      <c r="E32" s="1061"/>
      <c r="F32" s="1061"/>
      <c r="G32" s="1061"/>
      <c r="H32" s="341">
        <v>2</v>
      </c>
      <c r="I32" s="15" t="str">
        <f>IF(AND($H$30=TRUE,H32&lt;&gt;""),"OK",IF(AND($H$30=TRUE,H32=""),"MISSING VALUE",""))</f>
        <v>OK</v>
      </c>
    </row>
    <row r="33" spans="1:9" s="10" customFormat="1" ht="15" thickBot="1" x14ac:dyDescent="0.35">
      <c r="A33" s="1075"/>
      <c r="B33" s="1078"/>
      <c r="C33" s="1079" t="s">
        <v>4480</v>
      </c>
      <c r="D33" s="1080"/>
      <c r="E33" s="1080"/>
      <c r="F33" s="1080"/>
      <c r="G33" s="1080"/>
      <c r="H33" s="340">
        <f>IF(AND(H31&lt;&gt;"",H32&lt;&gt;""),$H$31/$H$32,"-")</f>
        <v>2.5</v>
      </c>
      <c r="I33" s="15"/>
    </row>
    <row r="34" spans="1:9" s="10" customFormat="1" x14ac:dyDescent="0.3">
      <c r="I34" s="15"/>
    </row>
    <row r="35" spans="1:9" s="10" customFormat="1" x14ac:dyDescent="0.3">
      <c r="I35" s="15"/>
    </row>
    <row r="36" spans="1:9" s="10" customFormat="1" x14ac:dyDescent="0.3">
      <c r="C36" s="592" t="str">
        <f>+ "Disclosure of any other governance and/or entity specific governance disclosures " &amp; template_reporting_period_display &amp; "  [May (optional)] "</f>
        <v xml:space="preserve">Disclosure of any other governance and/or entity specific governance disclosures from 01/01/2024 to 31/12/2024  [May (optional)] </v>
      </c>
      <c r="D36" s="593"/>
      <c r="E36" s="593"/>
      <c r="F36" s="593"/>
      <c r="G36" s="593"/>
      <c r="H36" s="594"/>
      <c r="I36" s="15"/>
    </row>
    <row r="37" spans="1:9" s="10" customFormat="1" x14ac:dyDescent="0.3">
      <c r="C37" s="1065">
        <v>10</v>
      </c>
      <c r="D37" s="1066"/>
      <c r="E37" s="1066"/>
      <c r="F37" s="1066"/>
      <c r="G37" s="1066"/>
      <c r="H37" s="1067"/>
      <c r="I37" s="15"/>
    </row>
    <row r="38" spans="1:9" s="10" customFormat="1" ht="15" thickBot="1" x14ac:dyDescent="0.35">
      <c r="C38" s="586"/>
      <c r="D38" s="587"/>
      <c r="E38" s="587"/>
      <c r="F38" s="587"/>
      <c r="G38" s="587"/>
      <c r="H38" s="908"/>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82" t="s">
        <v>4568</v>
      </c>
      <c r="B3" s="1082"/>
      <c r="C3" s="1082"/>
      <c r="D3" s="1082"/>
      <c r="E3" s="1082"/>
      <c r="F3" s="1082"/>
      <c r="G3" s="1082"/>
      <c r="H3" s="1082"/>
      <c r="I3" s="1082"/>
      <c r="J3" s="1082"/>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81" t="s">
        <v>4824</v>
      </c>
      <c r="C5" s="1081"/>
      <c r="D5" s="1081"/>
      <c r="E5" s="102"/>
      <c r="F5" s="102"/>
      <c r="G5" s="102"/>
      <c r="H5" s="102"/>
      <c r="I5" s="102"/>
      <c r="AK5" s="10"/>
      <c r="AM5" s="10"/>
      <c r="AN5" s="10"/>
      <c r="AO5" s="10"/>
    </row>
    <row r="6" spans="1:45" ht="44.4" customHeight="1" thickBot="1" x14ac:dyDescent="0.35">
      <c r="A6" s="68" t="s">
        <v>4465</v>
      </c>
      <c r="B6" s="1081" t="s">
        <v>3765</v>
      </c>
      <c r="C6" s="1081"/>
      <c r="D6" s="1081"/>
      <c r="E6" s="102"/>
      <c r="F6" s="102"/>
      <c r="G6" s="102"/>
      <c r="H6" s="102"/>
      <c r="I6" s="102"/>
      <c r="AK6" s="10"/>
      <c r="AM6" s="10"/>
      <c r="AN6" s="10"/>
      <c r="AO6" s="10"/>
    </row>
    <row r="7" spans="1:45" ht="51.6" customHeight="1" thickBot="1" x14ac:dyDescent="0.35">
      <c r="A7" s="105" t="e" vm="1">
        <v>#VALUE!</v>
      </c>
      <c r="B7" s="1081" t="s">
        <v>4825</v>
      </c>
      <c r="C7" s="1081"/>
      <c r="D7" s="1081"/>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t="s">
        <v>3691</v>
      </c>
      <c r="C10" s="62"/>
      <c r="E10" s="10" t="s">
        <v>4638</v>
      </c>
      <c r="K10" s="61" t="s">
        <v>3646</v>
      </c>
      <c r="L10" s="199" t="s">
        <v>3710</v>
      </c>
      <c r="M10" s="62"/>
      <c r="O10" s="61" t="s">
        <v>3646</v>
      </c>
      <c r="P10" s="199" t="s">
        <v>3735</v>
      </c>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Liquid</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Gaseous</v>
      </c>
      <c r="M11" s="62"/>
      <c r="O11" s="61" t="s">
        <v>3745</v>
      </c>
      <c r="P11" s="68" t="str">
        <f>IF(P10="", "-", IFERROR(IF(INDEX('Fuel Conversion Parameters'!$B$2:$B$61, MATCH(P10, 'Fuel Conversion Parameters'!$A$2:$A$61, 0))="", "MISSING VALUE", INDEX('Fuel Conversion Parameters'!$B$2:$B$61, MATCH(P10, 'Fuel Conversion Parameters'!$A$2:$A$61, 0))), "MISSING VALUE"))</f>
        <v>Solid</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Renewable</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Non-renewable</v>
      </c>
      <c r="M12" s="62"/>
      <c r="O12" s="61" t="s">
        <v>4539</v>
      </c>
      <c r="P12" s="68" t="str">
        <f>IF(P10="", "-", IFERROR(IF(INDEX('Fuel Conversion Parameters'!$F$2:$F$61, MATCH(P10, 'Fuel Conversion Parameters'!$A$2:$A$61, 0))="", "MISSING VALUE", INDEX('Fuel Conversion Parameters'!$F$2:$F$61, MATCH(P10, 'Fuel Conversion Parameters'!$A$2:$A$61, 0))), "MISSING VALUE"))</f>
        <v>Renewable</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4826</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4827</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t="s">
        <v>4743</v>
      </c>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t="s">
        <v>3689</v>
      </c>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t="s">
        <v>3688</v>
      </c>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v>12</v>
      </c>
      <c r="C17" s="62"/>
      <c r="K17" s="61" t="s">
        <v>3750</v>
      </c>
      <c r="L17" s="201">
        <v>23</v>
      </c>
      <c r="M17" s="62"/>
      <c r="O17" s="61" t="s">
        <v>3750</v>
      </c>
      <c r="P17" s="201">
        <v>1234</v>
      </c>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f>IF(B16="g - gram",B17*0.000000001,
IF(B16="Kg - Kilogram",B17*0.000001,
IF(B16="t - tonne",B17*0.001,
IF(B16="Gg - Gigagram",B17*1,
IF(B16="m³ - cubic meters",B17*1000,
IF(B16="L - Liter",B17*1,
""))))))</f>
        <v>12000</v>
      </c>
      <c r="C18" s="62"/>
      <c r="E18" s="267"/>
      <c r="F18" s="267"/>
      <c r="G18" s="267"/>
      <c r="H18" s="267"/>
      <c r="I18" s="267"/>
      <c r="K18" s="64"/>
      <c r="L18" s="203">
        <f>IF(L16="g - gram",L17*0.000000001,
IF(L16="Kg - Kilogram",L17*0.000001,
IF(L16="t - tonne",L17*0.001,
IF(L16="Gg - Gigagram",L17*1,
IF(L16="m³ - cubic meters",L17*1000,
IF(L16="L - Liter",L17*1,
""))))))</f>
        <v>23</v>
      </c>
      <c r="M18" s="62"/>
      <c r="O18" s="64"/>
      <c r="P18" s="203">
        <f>IF(P16="g - gram",P17*0.000000001,
IF(P16="Kg - Kilogram",P17*0.000001,
IF(P16="t - tonne",P17*0.001,
IF(P16="Gg - Gigagram",P17*1,
IF(P16="m³ - cubic meters",P17*1000,
IF(P16="L - Liter",P17*1,
""))))))</f>
        <v>1.234</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2"/>
      <c r="K22" s="67">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2"/>
      <c r="O22" s="67">
        <f>IF(OR(
   O23="",
   P17="",
   Q16="Liquid fuel: please change unit of measurement, select one among m³ and L",
   Q16="Gaseous fuel: please change unit of measurement, select one among m³ and L",
   Q16="Solid fuel: please change unit of measurement, select one among Gg, t, Kg and g"
),
"-",
IFERROR(O23*277.778, "")
)</f>
        <v>5347.3376112000005</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f>IFERROR(A26, "")</f>
        <v>0.27539999999999998</v>
      </c>
      <c r="B23" s="103"/>
      <c r="C23" s="265"/>
      <c r="K23" s="266">
        <f>IFERROR(K26, "")</f>
        <v>7.7049999999999997E-7</v>
      </c>
      <c r="L23" s="103"/>
      <c r="M23" s="265"/>
      <c r="O23" s="266">
        <f>IFERROR(O26, "")</f>
        <v>19.250399999999999</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f>IFERROR(
    IF(AND(B11="Solid"),B18,
        IF(AND(B11="Liquid"),B18*_xlfn.XLOOKUP(B10,'Fuel Conversion Parameters'!$A$2:$A$51,'Fuel Conversion Parameters'!$D$2:$D$51)*10^(-6),
            IF(AND(B11="Gaseous"),B18*_xlfn.XLOOKUP(B10,'Fuel Conversion Parameters'!$A$2:$A$51,'Fuel Conversion Parameters'!$E$2:$E$51)*10^(-3)*10^(-6),"")
        )
    ),
    ""
)</f>
        <v>1.0199999999999999E-2</v>
      </c>
      <c r="B24" s="10"/>
      <c r="K24" s="70">
        <f>IFERROR(
    IF(AND(L11="Solid"),L18,
        IF(AND(L11="Liquid"),L18*_xlfn.XLOOKUP(L10,'Fuel Conversion Parameters'!$A$2:$A$51,'Fuel Conversion Parameters'!$D$2:$D$51)*10^(-6),
            IF(AND(L11="Gaseous"),L18*_xlfn.XLOOKUP(L10,'Fuel Conversion Parameters'!$A$2:$A$51,'Fuel Conversion Parameters'!$E$2:$E$51)*10^(-3)*10^(-6),"")
        )
    ),
    ""
)</f>
        <v>1.541E-8</v>
      </c>
      <c r="O24" s="70">
        <f>IFERROR(
    IF(AND(P11="Solid"),P18,
        IF(AND(P11="Liquid"),P18*_xlfn.XLOOKUP(P10,'Fuel Conversion Parameters'!$A$2:$A$51,'Fuel Conversion Parameters'!$D$2:$D$51)*10^(-6),
            IF(AND(P11="Gaseous"),P18*_xlfn.XLOOKUP(P10,'Fuel Conversion Parameters'!$A$2:$A$51,'Fuel Conversion Parameters'!$E$2:$E$51)*10^(-3)*10^(-6),"")
        )
    ),
    ""
)</f>
        <v>1.234</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f>IFERROR(VLOOKUP(B10, 'Fuel Conversion Parameters'!$A:$C, 3, FALSE), "")</f>
        <v>27</v>
      </c>
      <c r="B25" s="10"/>
      <c r="K25" s="70">
        <f>IFERROR(VLOOKUP(L10, 'Fuel Conversion Parameters'!$A:$C, 3, FALSE), "")</f>
        <v>50</v>
      </c>
      <c r="O25" s="70">
        <f>IFERROR(VLOOKUP(P10, 'Fuel Conversion Parameters'!$A:$C, 3, FALSE), "")</f>
        <v>15.6</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f>IFERROR(IF(OR(A24="", A25=""), "", A24*A25), "")</f>
        <v>0.27539999999999998</v>
      </c>
      <c r="B26" s="70" t="str">
        <f>IF(B24="m³ - cubic meters",B25*1000,
IF(B24="L - Liter",B25*1,
""))</f>
        <v/>
      </c>
      <c r="K26" s="202">
        <f>IFERROR(IF(OR(K24="", K25=""), "", K24*K25), "")</f>
        <v>7.7049999999999997E-7</v>
      </c>
      <c r="L26" s="70" t="str">
        <f>IF(L24="m³ - cubic meters",L25*1000,
IF(L24="L - Liter",L25*1,
""))</f>
        <v/>
      </c>
      <c r="O26" s="202">
        <f>IFERROR(IF(OR(O24="", O25=""), "", O24*O25), "")</f>
        <v>19.250399999999999</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84" t="s">
        <v>4515</v>
      </c>
      <c r="B28" s="1085"/>
      <c r="AK28" s="10"/>
      <c r="AM28" s="10"/>
      <c r="AN28" s="10"/>
      <c r="AO28" s="10"/>
    </row>
    <row r="29" spans="1:45" ht="15" thickBot="1" x14ac:dyDescent="0.35">
      <c r="A29" s="1086">
        <f>IFERROR(A32+B32, "-")</f>
        <v>76.500275227949004</v>
      </c>
      <c r="B29" s="1087"/>
      <c r="AK29" s="10"/>
      <c r="AM29" s="10"/>
      <c r="AN29" s="10"/>
      <c r="AO29" s="10"/>
    </row>
    <row r="30" spans="1:45" ht="15" thickBot="1" x14ac:dyDescent="0.35">
      <c r="A30" s="10"/>
      <c r="B30" s="10"/>
      <c r="K30" s="202">
        <f>IFERROR(K33, "")</f>
        <v>1150</v>
      </c>
      <c r="AK30" s="10"/>
      <c r="AM30" s="10"/>
      <c r="AN30" s="10"/>
      <c r="AO30" s="10"/>
    </row>
    <row r="31" spans="1:45" ht="15" thickBot="1" x14ac:dyDescent="0.35">
      <c r="A31" s="61" t="s">
        <v>4471</v>
      </c>
      <c r="B31" s="55" t="s">
        <v>4472</v>
      </c>
      <c r="K31" s="202">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7">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7">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2">
        <f>IFERROR(VLOOKUP(L10, 'Fuel Conversion Parameters'!$A:$C, 3, FALSE), "")</f>
        <v>50</v>
      </c>
      <c r="AK32" s="10"/>
      <c r="AM32" s="10"/>
      <c r="AN32" s="10"/>
      <c r="AO32" s="10"/>
    </row>
    <row r="33" spans="1:41" x14ac:dyDescent="0.3">
      <c r="A33" s="202"/>
      <c r="B33" s="10"/>
      <c r="K33" s="202">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88" t="s">
        <v>4642</v>
      </c>
      <c r="B37" s="1088"/>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3"/>
      <c r="B40" s="1083"/>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election activeCell="A52" sqref="A52:A61"/>
    </sheetView>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113" t="s">
        <v>4545</v>
      </c>
      <c r="B62" s="1114"/>
      <c r="C62" s="1114"/>
      <c r="D62" s="1114"/>
      <c r="E62" s="1114"/>
      <c r="F62" s="1114"/>
      <c r="G62" s="1114"/>
      <c r="H62" s="1114"/>
      <c r="I62" s="1114"/>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5"/>
    </row>
    <row r="63" spans="1:51" ht="43.8" customHeight="1" x14ac:dyDescent="0.3">
      <c r="A63" s="1116" t="s">
        <v>4581</v>
      </c>
      <c r="B63" s="1117"/>
      <c r="C63" s="1117"/>
      <c r="D63" s="1117"/>
      <c r="E63" s="1117"/>
      <c r="F63" s="1117"/>
      <c r="G63" s="1117"/>
      <c r="H63" s="1117"/>
      <c r="I63" s="1117"/>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8"/>
    </row>
    <row r="64" spans="1:51" x14ac:dyDescent="0.3">
      <c r="A64" s="1119" t="s">
        <v>4582</v>
      </c>
      <c r="B64" s="1120"/>
      <c r="C64" s="1120"/>
      <c r="D64" s="1120"/>
      <c r="E64" s="1120"/>
      <c r="F64" s="1120"/>
      <c r="G64" s="1120"/>
      <c r="H64" s="1120"/>
      <c r="I64" s="1120"/>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1"/>
    </row>
    <row r="65" spans="1:51" x14ac:dyDescent="0.3">
      <c r="A65" s="1110" t="s">
        <v>4546</v>
      </c>
      <c r="B65" s="1111"/>
      <c r="C65" s="1111"/>
      <c r="D65" s="1111"/>
      <c r="E65" s="1111"/>
      <c r="F65" s="1111"/>
      <c r="G65" s="1111"/>
      <c r="H65" s="1111"/>
      <c r="I65" s="1111"/>
      <c r="J65" s="1111"/>
      <c r="K65" s="1111"/>
      <c r="L65" s="1111"/>
      <c r="M65" s="1111"/>
      <c r="N65" s="1111"/>
      <c r="O65" s="1111"/>
      <c r="P65" s="1111"/>
      <c r="Q65" s="1111"/>
      <c r="R65" s="1111"/>
      <c r="S65" s="1111"/>
      <c r="T65" s="1111"/>
      <c r="U65" s="1111"/>
      <c r="V65" s="1111"/>
      <c r="W65" s="1111"/>
      <c r="X65" s="1111"/>
      <c r="Y65" s="1111"/>
      <c r="Z65" s="1111"/>
      <c r="AA65" s="1111"/>
      <c r="AB65" s="1111"/>
      <c r="AC65" s="1111"/>
      <c r="AD65" s="1111"/>
      <c r="AE65" s="1111"/>
      <c r="AF65" s="1111"/>
      <c r="AG65" s="1111"/>
      <c r="AH65" s="1111"/>
      <c r="AI65" s="1111"/>
      <c r="AJ65" s="1111"/>
      <c r="AK65" s="1111"/>
      <c r="AL65" s="1111"/>
      <c r="AM65" s="1111"/>
      <c r="AN65" s="1111"/>
      <c r="AO65" s="1111"/>
      <c r="AP65" s="1111"/>
      <c r="AQ65" s="1111"/>
      <c r="AR65" s="1111"/>
      <c r="AS65" s="1111"/>
      <c r="AT65" s="1111"/>
      <c r="AU65" s="1111"/>
      <c r="AV65" s="1111"/>
      <c r="AW65" s="1111"/>
      <c r="AX65" s="1111"/>
      <c r="AY65" s="1112"/>
    </row>
    <row r="66" spans="1:51" x14ac:dyDescent="0.3">
      <c r="A66" s="1101" t="s">
        <v>4583</v>
      </c>
      <c r="B66" s="1102"/>
      <c r="C66" s="1102"/>
      <c r="D66" s="1102"/>
      <c r="E66" s="1102"/>
      <c r="F66" s="1102"/>
      <c r="G66" s="1102"/>
      <c r="H66" s="1102"/>
      <c r="I66" s="1102"/>
      <c r="J66" s="1102"/>
      <c r="K66" s="1102"/>
      <c r="L66" s="1102"/>
      <c r="M66" s="1102"/>
      <c r="N66" s="1102"/>
      <c r="O66" s="1102"/>
      <c r="P66" s="1102"/>
      <c r="Q66" s="1102"/>
      <c r="R66" s="1102"/>
      <c r="S66" s="1102"/>
      <c r="T66" s="1102"/>
      <c r="U66" s="1102"/>
      <c r="V66" s="1102"/>
      <c r="W66" s="1102"/>
      <c r="X66" s="1102"/>
      <c r="Y66" s="1102"/>
      <c r="Z66" s="1102"/>
      <c r="AA66" s="1102"/>
      <c r="AB66" s="1102"/>
      <c r="AC66" s="1102"/>
      <c r="AD66" s="1102"/>
      <c r="AE66" s="1102"/>
      <c r="AF66" s="1102"/>
      <c r="AG66" s="1102"/>
      <c r="AH66" s="1102"/>
      <c r="AI66" s="1102"/>
      <c r="AJ66" s="1102"/>
      <c r="AK66" s="1102"/>
      <c r="AL66" s="1102"/>
      <c r="AM66" s="1102"/>
      <c r="AN66" s="1102"/>
      <c r="AO66" s="1102"/>
      <c r="AP66" s="1102"/>
      <c r="AQ66" s="1102"/>
      <c r="AR66" s="1102"/>
      <c r="AS66" s="1102"/>
      <c r="AT66" s="1102"/>
      <c r="AU66" s="1102"/>
      <c r="AV66" s="1102"/>
      <c r="AW66" s="1102"/>
      <c r="AX66" s="1102"/>
      <c r="AY66" s="1103"/>
    </row>
    <row r="67" spans="1:51" x14ac:dyDescent="0.3">
      <c r="A67" s="1098" t="s">
        <v>4584</v>
      </c>
      <c r="B67" s="1099"/>
      <c r="C67" s="1099"/>
      <c r="D67" s="1099"/>
      <c r="E67" s="1099"/>
      <c r="F67" s="1099"/>
      <c r="G67" s="1099"/>
      <c r="H67" s="1099"/>
      <c r="I67" s="1099"/>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100"/>
    </row>
    <row r="68" spans="1:51" x14ac:dyDescent="0.3">
      <c r="A68" s="1101" t="s">
        <v>4585</v>
      </c>
      <c r="B68" s="1102"/>
      <c r="C68" s="1102"/>
      <c r="D68" s="1102"/>
      <c r="E68" s="1102"/>
      <c r="F68" s="1102"/>
      <c r="G68" s="1102"/>
      <c r="H68" s="1102"/>
      <c r="I68" s="1102"/>
      <c r="J68" s="1102"/>
      <c r="K68" s="1102"/>
      <c r="L68" s="1102"/>
      <c r="M68" s="1102"/>
      <c r="N68" s="1102"/>
      <c r="O68" s="1102"/>
      <c r="P68" s="1102"/>
      <c r="Q68" s="1102"/>
      <c r="R68" s="1102"/>
      <c r="S68" s="1102"/>
      <c r="T68" s="1102"/>
      <c r="U68" s="1102"/>
      <c r="V68" s="1102"/>
      <c r="W68" s="1102"/>
      <c r="X68" s="1102"/>
      <c r="Y68" s="1102"/>
      <c r="Z68" s="1102"/>
      <c r="AA68" s="1102"/>
      <c r="AB68" s="1102"/>
      <c r="AC68" s="1102"/>
      <c r="AD68" s="1102"/>
      <c r="AE68" s="1102"/>
      <c r="AF68" s="1102"/>
      <c r="AG68" s="1102"/>
      <c r="AH68" s="1102"/>
      <c r="AI68" s="1102"/>
      <c r="AJ68" s="1102"/>
      <c r="AK68" s="1102"/>
      <c r="AL68" s="1102"/>
      <c r="AM68" s="1102"/>
      <c r="AN68" s="1102"/>
      <c r="AO68" s="1102"/>
      <c r="AP68" s="1102"/>
      <c r="AQ68" s="1102"/>
      <c r="AR68" s="1102"/>
      <c r="AS68" s="1102"/>
      <c r="AT68" s="1102"/>
      <c r="AU68" s="1102"/>
      <c r="AV68" s="1102"/>
      <c r="AW68" s="1102"/>
      <c r="AX68" s="1102"/>
      <c r="AY68" s="1103"/>
    </row>
    <row r="69" spans="1:51" x14ac:dyDescent="0.3">
      <c r="A69" s="1098" t="s">
        <v>4586</v>
      </c>
      <c r="B69" s="1099"/>
      <c r="C69" s="1099"/>
      <c r="D69" s="1099"/>
      <c r="E69" s="1099"/>
      <c r="F69" s="1099"/>
      <c r="G69" s="1099"/>
      <c r="H69" s="1099"/>
      <c r="I69" s="1099"/>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100"/>
    </row>
    <row r="70" spans="1:51" x14ac:dyDescent="0.3">
      <c r="A70" s="1101" t="s">
        <v>4587</v>
      </c>
      <c r="B70" s="1102"/>
      <c r="C70" s="1102"/>
      <c r="D70" s="1102"/>
      <c r="E70" s="1102"/>
      <c r="F70" s="1102"/>
      <c r="G70" s="1102"/>
      <c r="H70" s="1102"/>
      <c r="I70" s="1102"/>
      <c r="J70" s="1102"/>
      <c r="K70" s="1102"/>
      <c r="L70" s="1102"/>
      <c r="M70" s="1102"/>
      <c r="N70" s="1102"/>
      <c r="O70" s="1102"/>
      <c r="P70" s="1102"/>
      <c r="Q70" s="1102"/>
      <c r="R70" s="1102"/>
      <c r="S70" s="1102"/>
      <c r="T70" s="1102"/>
      <c r="U70" s="1102"/>
      <c r="V70" s="1102"/>
      <c r="W70" s="1102"/>
      <c r="X70" s="1102"/>
      <c r="Y70" s="1102"/>
      <c r="Z70" s="1102"/>
      <c r="AA70" s="1102"/>
      <c r="AB70" s="1102"/>
      <c r="AC70" s="1102"/>
      <c r="AD70" s="1102"/>
      <c r="AE70" s="1102"/>
      <c r="AF70" s="1102"/>
      <c r="AG70" s="1102"/>
      <c r="AH70" s="1102"/>
      <c r="AI70" s="1102"/>
      <c r="AJ70" s="1102"/>
      <c r="AK70" s="1102"/>
      <c r="AL70" s="1102"/>
      <c r="AM70" s="1102"/>
      <c r="AN70" s="1102"/>
      <c r="AO70" s="1102"/>
      <c r="AP70" s="1102"/>
      <c r="AQ70" s="1102"/>
      <c r="AR70" s="1102"/>
      <c r="AS70" s="1102"/>
      <c r="AT70" s="1102"/>
      <c r="AU70" s="1102"/>
      <c r="AV70" s="1102"/>
      <c r="AW70" s="1102"/>
      <c r="AX70" s="1102"/>
      <c r="AY70" s="1103"/>
    </row>
    <row r="71" spans="1:51" x14ac:dyDescent="0.3">
      <c r="A71" s="1098" t="s">
        <v>4588</v>
      </c>
      <c r="B71" s="1099"/>
      <c r="C71" s="1099"/>
      <c r="D71" s="1099"/>
      <c r="E71" s="1099"/>
      <c r="F71" s="1099"/>
      <c r="G71" s="1099"/>
      <c r="H71" s="1099"/>
      <c r="I71" s="1099"/>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100"/>
    </row>
    <row r="72" spans="1:51" x14ac:dyDescent="0.3">
      <c r="A72" s="1101" t="s">
        <v>4589</v>
      </c>
      <c r="B72" s="1102"/>
      <c r="C72" s="1102"/>
      <c r="D72" s="1102"/>
      <c r="E72" s="1102"/>
      <c r="F72" s="1102"/>
      <c r="G72" s="1102"/>
      <c r="H72" s="1102"/>
      <c r="I72" s="1102"/>
      <c r="J72" s="1102"/>
      <c r="K72" s="1102"/>
      <c r="L72" s="1102"/>
      <c r="M72" s="1102"/>
      <c r="N72" s="1102"/>
      <c r="O72" s="1102"/>
      <c r="P72" s="1102"/>
      <c r="Q72" s="1102"/>
      <c r="R72" s="1102"/>
      <c r="S72" s="1102"/>
      <c r="T72" s="1102"/>
      <c r="U72" s="1102"/>
      <c r="V72" s="1102"/>
      <c r="W72" s="1102"/>
      <c r="X72" s="1102"/>
      <c r="Y72" s="1102"/>
      <c r="Z72" s="1102"/>
      <c r="AA72" s="1102"/>
      <c r="AB72" s="1102"/>
      <c r="AC72" s="1102"/>
      <c r="AD72" s="1102"/>
      <c r="AE72" s="1102"/>
      <c r="AF72" s="1102"/>
      <c r="AG72" s="1102"/>
      <c r="AH72" s="1102"/>
      <c r="AI72" s="1102"/>
      <c r="AJ72" s="1102"/>
      <c r="AK72" s="1102"/>
      <c r="AL72" s="1102"/>
      <c r="AM72" s="1102"/>
      <c r="AN72" s="1102"/>
      <c r="AO72" s="1102"/>
      <c r="AP72" s="1102"/>
      <c r="AQ72" s="1102"/>
      <c r="AR72" s="1102"/>
      <c r="AS72" s="1102"/>
      <c r="AT72" s="1102"/>
      <c r="AU72" s="1102"/>
      <c r="AV72" s="1102"/>
      <c r="AW72" s="1102"/>
      <c r="AX72" s="1102"/>
      <c r="AY72" s="1103"/>
    </row>
    <row r="73" spans="1:51" x14ac:dyDescent="0.3">
      <c r="A73" s="1098" t="s">
        <v>4590</v>
      </c>
      <c r="B73" s="1099"/>
      <c r="C73" s="1099"/>
      <c r="D73" s="1099"/>
      <c r="E73" s="1099"/>
      <c r="F73" s="1099"/>
      <c r="G73" s="1099"/>
      <c r="H73" s="1099"/>
      <c r="I73" s="1099"/>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100"/>
    </row>
    <row r="74" spans="1:51" x14ac:dyDescent="0.3">
      <c r="A74" s="1101" t="s">
        <v>4591</v>
      </c>
      <c r="B74" s="1102"/>
      <c r="C74" s="1102"/>
      <c r="D74" s="1102"/>
      <c r="E74" s="1102"/>
      <c r="F74" s="1102"/>
      <c r="G74" s="1102"/>
      <c r="H74" s="1102"/>
      <c r="I74" s="1102"/>
      <c r="J74" s="1102"/>
      <c r="K74" s="1102"/>
      <c r="L74" s="1102"/>
      <c r="M74" s="1102"/>
      <c r="N74" s="1102"/>
      <c r="O74" s="1102"/>
      <c r="P74" s="1102"/>
      <c r="Q74" s="1102"/>
      <c r="R74" s="1102"/>
      <c r="S74" s="1102"/>
      <c r="T74" s="1102"/>
      <c r="U74" s="1102"/>
      <c r="V74" s="1102"/>
      <c r="W74" s="1102"/>
      <c r="X74" s="1102"/>
      <c r="Y74" s="1102"/>
      <c r="Z74" s="1102"/>
      <c r="AA74" s="1102"/>
      <c r="AB74" s="1102"/>
      <c r="AC74" s="1102"/>
      <c r="AD74" s="1102"/>
      <c r="AE74" s="1102"/>
      <c r="AF74" s="1102"/>
      <c r="AG74" s="1102"/>
      <c r="AH74" s="1102"/>
      <c r="AI74" s="1102"/>
      <c r="AJ74" s="1102"/>
      <c r="AK74" s="1102"/>
      <c r="AL74" s="1102"/>
      <c r="AM74" s="1102"/>
      <c r="AN74" s="1102"/>
      <c r="AO74" s="1102"/>
      <c r="AP74" s="1102"/>
      <c r="AQ74" s="1102"/>
      <c r="AR74" s="1102"/>
      <c r="AS74" s="1102"/>
      <c r="AT74" s="1102"/>
      <c r="AU74" s="1102"/>
      <c r="AV74" s="1102"/>
      <c r="AW74" s="1102"/>
      <c r="AX74" s="1102"/>
      <c r="AY74" s="1103"/>
    </row>
    <row r="75" spans="1:51" x14ac:dyDescent="0.3">
      <c r="A75" s="1098" t="s">
        <v>4592</v>
      </c>
      <c r="B75" s="1099"/>
      <c r="C75" s="1099"/>
      <c r="D75" s="1099"/>
      <c r="E75" s="1099"/>
      <c r="F75" s="1099"/>
      <c r="G75" s="1099"/>
      <c r="H75" s="1099"/>
      <c r="I75" s="1099"/>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100"/>
    </row>
    <row r="76" spans="1:51" x14ac:dyDescent="0.3">
      <c r="A76" s="1095" t="s">
        <v>4593</v>
      </c>
      <c r="B76" s="1096"/>
      <c r="C76" s="1096"/>
      <c r="D76" s="1096"/>
      <c r="E76" s="1096"/>
      <c r="F76" s="1096"/>
      <c r="G76" s="1096"/>
      <c r="H76" s="1096"/>
      <c r="I76" s="1096"/>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7"/>
    </row>
    <row r="77" spans="1:51" x14ac:dyDescent="0.3">
      <c r="A77" s="1092" t="s">
        <v>4594</v>
      </c>
      <c r="B77" s="1093"/>
      <c r="C77" s="1093"/>
      <c r="D77" s="1093"/>
      <c r="E77" s="1093"/>
      <c r="F77" s="1093"/>
      <c r="G77" s="1093"/>
      <c r="H77" s="1093"/>
      <c r="I77" s="1093"/>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4"/>
    </row>
    <row r="78" spans="1:51" x14ac:dyDescent="0.3">
      <c r="A78" s="1089" t="s">
        <v>4595</v>
      </c>
      <c r="B78" s="1090"/>
      <c r="C78" s="1090"/>
      <c r="D78" s="1090"/>
      <c r="E78" s="1090"/>
      <c r="F78" s="1090"/>
      <c r="G78" s="1090"/>
      <c r="H78" s="1090"/>
      <c r="I78" s="1090"/>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1"/>
    </row>
    <row r="79" spans="1:51" x14ac:dyDescent="0.3">
      <c r="A79" s="1107" t="s">
        <v>4596</v>
      </c>
      <c r="B79" s="1108"/>
      <c r="C79" s="1108"/>
      <c r="D79" s="1108"/>
      <c r="E79" s="1108"/>
      <c r="F79" s="1108"/>
      <c r="G79" s="1108"/>
      <c r="H79" s="1108"/>
      <c r="I79" s="1108"/>
      <c r="J79" s="1108"/>
      <c r="K79" s="1108"/>
      <c r="L79" s="1108"/>
      <c r="M79" s="1108"/>
      <c r="N79" s="1108"/>
      <c r="O79" s="1108"/>
      <c r="P79" s="1108"/>
      <c r="Q79" s="1108"/>
      <c r="R79" s="1108"/>
      <c r="S79" s="1108"/>
      <c r="T79" s="1108"/>
      <c r="U79" s="1108"/>
      <c r="V79" s="1108"/>
      <c r="W79" s="1108"/>
      <c r="X79" s="1108"/>
      <c r="Y79" s="1108"/>
      <c r="Z79" s="1108"/>
      <c r="AA79" s="1108"/>
      <c r="AB79" s="1108"/>
      <c r="AC79" s="1108"/>
      <c r="AD79" s="1108"/>
      <c r="AE79" s="1108"/>
      <c r="AF79" s="1108"/>
      <c r="AG79" s="1108"/>
      <c r="AH79" s="1108"/>
      <c r="AI79" s="1108"/>
      <c r="AJ79" s="1108"/>
      <c r="AK79" s="1108"/>
      <c r="AL79" s="1108"/>
      <c r="AM79" s="1108"/>
      <c r="AN79" s="1108"/>
      <c r="AO79" s="1108"/>
      <c r="AP79" s="1108"/>
      <c r="AQ79" s="1108"/>
      <c r="AR79" s="1108"/>
      <c r="AS79" s="1108"/>
      <c r="AT79" s="1108"/>
      <c r="AU79" s="1108"/>
      <c r="AV79" s="1108"/>
      <c r="AW79" s="1108"/>
      <c r="AX79" s="1108"/>
      <c r="AY79" s="1109"/>
    </row>
    <row r="80" spans="1:51" x14ac:dyDescent="0.3">
      <c r="A80" s="1104" t="s">
        <v>4597</v>
      </c>
      <c r="B80" s="1105"/>
      <c r="C80" s="1105"/>
      <c r="D80" s="1105"/>
      <c r="E80" s="1105"/>
      <c r="F80" s="1105"/>
      <c r="G80" s="1105"/>
      <c r="H80" s="1105"/>
      <c r="I80" s="1105"/>
      <c r="J80" s="1105"/>
      <c r="K80" s="1105"/>
      <c r="L80" s="1105"/>
      <c r="M80" s="1105"/>
      <c r="N80" s="1105"/>
      <c r="O80" s="1105"/>
      <c r="P80" s="1105"/>
      <c r="Q80" s="1105"/>
      <c r="R80" s="1105"/>
      <c r="S80" s="1105"/>
      <c r="T80" s="1105"/>
      <c r="U80" s="1105"/>
      <c r="V80" s="1105"/>
      <c r="W80" s="1105"/>
      <c r="X80" s="1105"/>
      <c r="Y80" s="1105"/>
      <c r="Z80" s="1105"/>
      <c r="AA80" s="1105"/>
      <c r="AB80" s="1105"/>
      <c r="AC80" s="1105"/>
      <c r="AD80" s="1105"/>
      <c r="AE80" s="1105"/>
      <c r="AF80" s="1105"/>
      <c r="AG80" s="1105"/>
      <c r="AH80" s="1105"/>
      <c r="AI80" s="1105"/>
      <c r="AJ80" s="1105"/>
      <c r="AK80" s="1105"/>
      <c r="AL80" s="1105"/>
      <c r="AM80" s="1105"/>
      <c r="AN80" s="1105"/>
      <c r="AO80" s="1105"/>
      <c r="AP80" s="1105"/>
      <c r="AQ80" s="1105"/>
      <c r="AR80" s="1105"/>
      <c r="AS80" s="1105"/>
      <c r="AT80" s="1105"/>
      <c r="AU80" s="1105"/>
      <c r="AV80" s="1105"/>
      <c r="AW80" s="1105"/>
      <c r="AX80" s="1105"/>
      <c r="AY80" s="1106"/>
    </row>
    <row r="81" spans="1:51" x14ac:dyDescent="0.3">
      <c r="A81" s="1089" t="s">
        <v>4598</v>
      </c>
      <c r="B81" s="1090"/>
      <c r="C81" s="1090"/>
      <c r="D81" s="1090"/>
      <c r="E81" s="1090"/>
      <c r="F81" s="1090"/>
      <c r="G81" s="1090"/>
      <c r="H81" s="1090"/>
      <c r="I81" s="1090"/>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1"/>
    </row>
    <row r="82" spans="1:51" x14ac:dyDescent="0.3">
      <c r="A82" s="1101" t="s">
        <v>4599</v>
      </c>
      <c r="B82" s="1102"/>
      <c r="C82" s="1102"/>
      <c r="D82" s="1102"/>
      <c r="E82" s="1102"/>
      <c r="F82" s="1102"/>
      <c r="G82" s="1102"/>
      <c r="H82" s="1102"/>
      <c r="I82" s="1102"/>
      <c r="J82" s="1102"/>
      <c r="K82" s="1102"/>
      <c r="L82" s="1102"/>
      <c r="M82" s="1102"/>
      <c r="N82" s="1102"/>
      <c r="O82" s="1102"/>
      <c r="P82" s="1102"/>
      <c r="Q82" s="1102"/>
      <c r="R82" s="1102"/>
      <c r="S82" s="1102"/>
      <c r="T82" s="1102"/>
      <c r="U82" s="1102"/>
      <c r="V82" s="1102"/>
      <c r="W82" s="1102"/>
      <c r="X82" s="1102"/>
      <c r="Y82" s="1102"/>
      <c r="Z82" s="1102"/>
      <c r="AA82" s="1102"/>
      <c r="AB82" s="1102"/>
      <c r="AC82" s="1102"/>
      <c r="AD82" s="1102"/>
      <c r="AE82" s="1102"/>
      <c r="AF82" s="1102"/>
      <c r="AG82" s="1102"/>
      <c r="AH82" s="1102"/>
      <c r="AI82" s="1102"/>
      <c r="AJ82" s="1102"/>
      <c r="AK82" s="1102"/>
      <c r="AL82" s="1102"/>
      <c r="AM82" s="1102"/>
      <c r="AN82" s="1102"/>
      <c r="AO82" s="1102"/>
      <c r="AP82" s="1102"/>
      <c r="AQ82" s="1102"/>
      <c r="AR82" s="1102"/>
      <c r="AS82" s="1102"/>
      <c r="AT82" s="1102"/>
      <c r="AU82" s="1102"/>
      <c r="AV82" s="1102"/>
      <c r="AW82" s="1102"/>
      <c r="AX82" s="1102"/>
      <c r="AY82" s="1103"/>
    </row>
    <row r="83" spans="1:51" x14ac:dyDescent="0.3">
      <c r="A83" s="1098" t="s">
        <v>4600</v>
      </c>
      <c r="B83" s="1099"/>
      <c r="C83" s="1099"/>
      <c r="D83" s="1099"/>
      <c r="E83" s="1099"/>
      <c r="F83" s="1099"/>
      <c r="G83" s="1099"/>
      <c r="H83" s="1099"/>
      <c r="I83" s="1099"/>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100"/>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104" t="s">
        <v>4602</v>
      </c>
      <c r="B85" s="1122"/>
      <c r="C85" s="1122"/>
      <c r="D85" s="1122"/>
      <c r="E85" s="1122"/>
      <c r="F85" s="1122"/>
      <c r="G85" s="1122"/>
      <c r="H85" s="1122"/>
      <c r="I85" s="1122"/>
      <c r="J85" s="1122"/>
      <c r="K85" s="1122"/>
      <c r="L85" s="1122"/>
      <c r="M85" s="1122"/>
      <c r="N85" s="1122"/>
      <c r="O85" s="1122"/>
      <c r="P85" s="1122"/>
      <c r="Q85" s="1122"/>
      <c r="R85" s="1122"/>
      <c r="S85" s="1122"/>
      <c r="T85" s="1122"/>
      <c r="U85" s="1122"/>
      <c r="V85" s="1122"/>
      <c r="W85" s="1122"/>
      <c r="X85" s="1122"/>
      <c r="Y85" s="1122"/>
      <c r="Z85" s="1122"/>
      <c r="AA85" s="1122"/>
      <c r="AB85" s="1122"/>
      <c r="AC85" s="1122"/>
      <c r="AD85" s="1122"/>
      <c r="AE85" s="1122"/>
      <c r="AF85" s="1122"/>
      <c r="AG85" s="1122"/>
      <c r="AH85" s="1122"/>
      <c r="AI85" s="1122"/>
      <c r="AJ85" s="1122"/>
      <c r="AK85" s="1122"/>
      <c r="AL85" s="1122"/>
      <c r="AM85" s="1122"/>
      <c r="AN85" s="1122"/>
      <c r="AO85" s="1122"/>
      <c r="AP85" s="1122"/>
      <c r="AQ85" s="1122"/>
      <c r="AR85" s="1122"/>
      <c r="AS85" s="1122"/>
      <c r="AT85" s="1122"/>
      <c r="AU85" s="1122"/>
      <c r="AV85" s="1122"/>
      <c r="AW85" s="1122"/>
      <c r="AX85" s="1122"/>
      <c r="AY85" s="1123"/>
    </row>
    <row r="86" spans="1:51" x14ac:dyDescent="0.3">
      <c r="A86" s="1089" t="s">
        <v>4603</v>
      </c>
      <c r="B86" s="1090"/>
      <c r="C86" s="1090"/>
      <c r="D86" s="1090"/>
      <c r="E86" s="1090"/>
      <c r="F86" s="1090"/>
      <c r="G86" s="1090"/>
      <c r="H86" s="1090"/>
      <c r="I86" s="1090"/>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1"/>
    </row>
    <row r="87" spans="1:51" x14ac:dyDescent="0.3">
      <c r="A87" s="1124" t="s">
        <v>4604</v>
      </c>
      <c r="B87" s="1125"/>
      <c r="C87" s="1125"/>
      <c r="D87" s="1125"/>
      <c r="E87" s="1125"/>
      <c r="F87" s="1125"/>
      <c r="G87" s="1125"/>
      <c r="H87" s="1125"/>
      <c r="I87" s="1125"/>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6"/>
    </row>
    <row r="88" spans="1:51" x14ac:dyDescent="0.3">
      <c r="A88" s="1098" t="s">
        <v>4605</v>
      </c>
      <c r="B88" s="1127"/>
      <c r="C88" s="1127"/>
      <c r="D88" s="1127"/>
      <c r="E88" s="1127"/>
      <c r="F88" s="1127"/>
      <c r="G88" s="1127"/>
      <c r="H88" s="1127"/>
      <c r="I88" s="1127"/>
      <c r="J88" s="1127"/>
      <c r="K88" s="1127"/>
      <c r="L88" s="1127"/>
      <c r="M88" s="1127"/>
      <c r="N88" s="1127"/>
      <c r="O88" s="1127"/>
      <c r="P88" s="1127"/>
      <c r="Q88" s="1127"/>
      <c r="R88" s="1127"/>
      <c r="S88" s="1127"/>
      <c r="T88" s="1127"/>
      <c r="U88" s="1127"/>
      <c r="V88" s="1127"/>
      <c r="W88" s="1127"/>
      <c r="X88" s="1127"/>
      <c r="Y88" s="1127"/>
      <c r="Z88" s="1127"/>
      <c r="AA88" s="1127"/>
      <c r="AB88" s="1127"/>
      <c r="AC88" s="1127"/>
      <c r="AD88" s="1127"/>
      <c r="AE88" s="1127"/>
      <c r="AF88" s="1127"/>
      <c r="AG88" s="1127"/>
      <c r="AH88" s="1127"/>
      <c r="AI88" s="1127"/>
      <c r="AJ88" s="1127"/>
      <c r="AK88" s="1127"/>
      <c r="AL88" s="1127"/>
      <c r="AM88" s="1127"/>
      <c r="AN88" s="1127"/>
      <c r="AO88" s="1127"/>
      <c r="AP88" s="1127"/>
      <c r="AQ88" s="1127"/>
      <c r="AR88" s="1127"/>
      <c r="AS88" s="1127"/>
      <c r="AT88" s="1127"/>
      <c r="AU88" s="1127"/>
      <c r="AV88" s="1127"/>
      <c r="AW88" s="1127"/>
      <c r="AX88" s="1127"/>
      <c r="AY88" s="1128"/>
    </row>
    <row r="89" spans="1:51" x14ac:dyDescent="0.3">
      <c r="A89" s="1101" t="s">
        <v>4606</v>
      </c>
      <c r="B89" s="1102"/>
      <c r="C89" s="1102"/>
      <c r="D89" s="1102"/>
      <c r="E89" s="1102"/>
      <c r="F89" s="1102"/>
      <c r="G89" s="1102"/>
      <c r="H89" s="1102"/>
      <c r="I89" s="1102"/>
      <c r="J89" s="1102"/>
      <c r="K89" s="1102"/>
      <c r="L89" s="1102"/>
      <c r="M89" s="1102"/>
      <c r="N89" s="1102"/>
      <c r="O89" s="1102"/>
      <c r="P89" s="1102"/>
      <c r="Q89" s="1102"/>
      <c r="R89" s="1102"/>
      <c r="S89" s="1102"/>
      <c r="T89" s="1102"/>
      <c r="U89" s="1102"/>
      <c r="V89" s="1102"/>
      <c r="W89" s="1102"/>
      <c r="X89" s="1102"/>
      <c r="Y89" s="1102"/>
      <c r="Z89" s="1102"/>
      <c r="AA89" s="1102"/>
      <c r="AB89" s="1102"/>
      <c r="AC89" s="1102"/>
      <c r="AD89" s="1102"/>
      <c r="AE89" s="1102"/>
      <c r="AF89" s="1102"/>
      <c r="AG89" s="1102"/>
      <c r="AH89" s="1102"/>
      <c r="AI89" s="1102"/>
      <c r="AJ89" s="1102"/>
      <c r="AK89" s="1102"/>
      <c r="AL89" s="1102"/>
      <c r="AM89" s="1102"/>
      <c r="AN89" s="1102"/>
      <c r="AO89" s="1102"/>
      <c r="AP89" s="1102"/>
      <c r="AQ89" s="1102"/>
      <c r="AR89" s="1102"/>
      <c r="AS89" s="1102"/>
      <c r="AT89" s="1102"/>
      <c r="AU89" s="1102"/>
      <c r="AV89" s="1102"/>
      <c r="AW89" s="1102"/>
      <c r="AX89" s="1102"/>
      <c r="AY89" s="1103"/>
    </row>
    <row r="90" spans="1:51" x14ac:dyDescent="0.3">
      <c r="A90" s="1098" t="s">
        <v>4607</v>
      </c>
      <c r="B90" s="1127"/>
      <c r="C90" s="1127"/>
      <c r="D90" s="1127"/>
      <c r="E90" s="1127"/>
      <c r="F90" s="1127"/>
      <c r="G90" s="1127"/>
      <c r="H90" s="1127"/>
      <c r="I90" s="1127"/>
      <c r="J90" s="1127"/>
      <c r="K90" s="1127"/>
      <c r="L90" s="1127"/>
      <c r="M90" s="1127"/>
      <c r="N90" s="1127"/>
      <c r="O90" s="1127"/>
      <c r="P90" s="1127"/>
      <c r="Q90" s="1127"/>
      <c r="R90" s="1127"/>
      <c r="S90" s="1127"/>
      <c r="T90" s="1127"/>
      <c r="U90" s="1127"/>
      <c r="V90" s="1127"/>
      <c r="W90" s="1127"/>
      <c r="X90" s="1127"/>
      <c r="Y90" s="1127"/>
      <c r="Z90" s="1127"/>
      <c r="AA90" s="1127"/>
      <c r="AB90" s="1127"/>
      <c r="AC90" s="1127"/>
      <c r="AD90" s="1127"/>
      <c r="AE90" s="1127"/>
      <c r="AF90" s="1127"/>
      <c r="AG90" s="1127"/>
      <c r="AH90" s="1127"/>
      <c r="AI90" s="1127"/>
      <c r="AJ90" s="1127"/>
      <c r="AK90" s="1127"/>
      <c r="AL90" s="1127"/>
      <c r="AM90" s="1127"/>
      <c r="AN90" s="1127"/>
      <c r="AO90" s="1127"/>
      <c r="AP90" s="1127"/>
      <c r="AQ90" s="1127"/>
      <c r="AR90" s="1127"/>
      <c r="AS90" s="1127"/>
      <c r="AT90" s="1127"/>
      <c r="AU90" s="1127"/>
      <c r="AV90" s="1127"/>
      <c r="AW90" s="1127"/>
      <c r="AX90" s="1127"/>
      <c r="AY90" s="1128"/>
    </row>
    <row r="91" spans="1:51" x14ac:dyDescent="0.3">
      <c r="A91" s="1101" t="s">
        <v>4608</v>
      </c>
      <c r="B91" s="1102"/>
      <c r="C91" s="1102"/>
      <c r="D91" s="1102"/>
      <c r="E91" s="1102"/>
      <c r="F91" s="1102"/>
      <c r="G91" s="1102"/>
      <c r="H91" s="1102"/>
      <c r="I91" s="1102"/>
      <c r="J91" s="1102"/>
      <c r="K91" s="1102"/>
      <c r="L91" s="1102"/>
      <c r="M91" s="1102"/>
      <c r="N91" s="1102"/>
      <c r="O91" s="1102"/>
      <c r="P91" s="1102"/>
      <c r="Q91" s="1102"/>
      <c r="R91" s="1102"/>
      <c r="S91" s="1102"/>
      <c r="T91" s="1102"/>
      <c r="U91" s="1102"/>
      <c r="V91" s="1102"/>
      <c r="W91" s="1102"/>
      <c r="X91" s="1102"/>
      <c r="Y91" s="1102"/>
      <c r="Z91" s="1102"/>
      <c r="AA91" s="1102"/>
      <c r="AB91" s="1102"/>
      <c r="AC91" s="1102"/>
      <c r="AD91" s="1102"/>
      <c r="AE91" s="1102"/>
      <c r="AF91" s="1102"/>
      <c r="AG91" s="1102"/>
      <c r="AH91" s="1102"/>
      <c r="AI91" s="1102"/>
      <c r="AJ91" s="1102"/>
      <c r="AK91" s="1102"/>
      <c r="AL91" s="1102"/>
      <c r="AM91" s="1102"/>
      <c r="AN91" s="1102"/>
      <c r="AO91" s="1102"/>
      <c r="AP91" s="1102"/>
      <c r="AQ91" s="1102"/>
      <c r="AR91" s="1102"/>
      <c r="AS91" s="1102"/>
      <c r="AT91" s="1102"/>
      <c r="AU91" s="1102"/>
      <c r="AV91" s="1102"/>
      <c r="AW91" s="1102"/>
      <c r="AX91" s="1102"/>
      <c r="AY91" s="1103"/>
    </row>
    <row r="92" spans="1:51" x14ac:dyDescent="0.3">
      <c r="A92" s="1098" t="s">
        <v>4609</v>
      </c>
      <c r="B92" s="1127"/>
      <c r="C92" s="1127"/>
      <c r="D92" s="1127"/>
      <c r="E92" s="1127"/>
      <c r="F92" s="1127"/>
      <c r="G92" s="1127"/>
      <c r="H92" s="1127"/>
      <c r="I92" s="1127"/>
      <c r="J92" s="1127"/>
      <c r="K92" s="1127"/>
      <c r="L92" s="1127"/>
      <c r="M92" s="1127"/>
      <c r="N92" s="1127"/>
      <c r="O92" s="1127"/>
      <c r="P92" s="1127"/>
      <c r="Q92" s="1127"/>
      <c r="R92" s="1127"/>
      <c r="S92" s="1127"/>
      <c r="T92" s="1127"/>
      <c r="U92" s="1127"/>
      <c r="V92" s="1127"/>
      <c r="W92" s="1127"/>
      <c r="X92" s="1127"/>
      <c r="Y92" s="1127"/>
      <c r="Z92" s="1127"/>
      <c r="AA92" s="1127"/>
      <c r="AB92" s="1127"/>
      <c r="AC92" s="1127"/>
      <c r="AD92" s="1127"/>
      <c r="AE92" s="1127"/>
      <c r="AF92" s="1127"/>
      <c r="AG92" s="1127"/>
      <c r="AH92" s="1127"/>
      <c r="AI92" s="1127"/>
      <c r="AJ92" s="1127"/>
      <c r="AK92" s="1127"/>
      <c r="AL92" s="1127"/>
      <c r="AM92" s="1127"/>
      <c r="AN92" s="1127"/>
      <c r="AO92" s="1127"/>
      <c r="AP92" s="1127"/>
      <c r="AQ92" s="1127"/>
      <c r="AR92" s="1127"/>
      <c r="AS92" s="1127"/>
      <c r="AT92" s="1127"/>
      <c r="AU92" s="1127"/>
      <c r="AV92" s="1127"/>
      <c r="AW92" s="1127"/>
      <c r="AX92" s="1127"/>
      <c r="AY92" s="1128"/>
    </row>
    <row r="93" spans="1:51" x14ac:dyDescent="0.3">
      <c r="A93" s="1101" t="s">
        <v>4610</v>
      </c>
      <c r="B93" s="1102"/>
      <c r="C93" s="1102"/>
      <c r="D93" s="1102"/>
      <c r="E93" s="1102"/>
      <c r="F93" s="1102"/>
      <c r="G93" s="1102"/>
      <c r="H93" s="1102"/>
      <c r="I93" s="1102"/>
      <c r="J93" s="1102"/>
      <c r="K93" s="1102"/>
      <c r="L93" s="1102"/>
      <c r="M93" s="1102"/>
      <c r="N93" s="1102"/>
      <c r="O93" s="1102"/>
      <c r="P93" s="1102"/>
      <c r="Q93" s="1102"/>
      <c r="R93" s="1102"/>
      <c r="S93" s="1102"/>
      <c r="T93" s="1102"/>
      <c r="U93" s="1102"/>
      <c r="V93" s="1102"/>
      <c r="W93" s="1102"/>
      <c r="X93" s="1102"/>
      <c r="Y93" s="1102"/>
      <c r="Z93" s="1102"/>
      <c r="AA93" s="1102"/>
      <c r="AB93" s="1102"/>
      <c r="AC93" s="1102"/>
      <c r="AD93" s="1102"/>
      <c r="AE93" s="1102"/>
      <c r="AF93" s="1102"/>
      <c r="AG93" s="1102"/>
      <c r="AH93" s="1102"/>
      <c r="AI93" s="1102"/>
      <c r="AJ93" s="1102"/>
      <c r="AK93" s="1102"/>
      <c r="AL93" s="1102"/>
      <c r="AM93" s="1102"/>
      <c r="AN93" s="1102"/>
      <c r="AO93" s="1102"/>
      <c r="AP93" s="1102"/>
      <c r="AQ93" s="1102"/>
      <c r="AR93" s="1102"/>
      <c r="AS93" s="1102"/>
      <c r="AT93" s="1102"/>
      <c r="AU93" s="1102"/>
      <c r="AV93" s="1102"/>
      <c r="AW93" s="1102"/>
      <c r="AX93" s="1102"/>
      <c r="AY93" s="1103"/>
    </row>
    <row r="94" spans="1:51" x14ac:dyDescent="0.3">
      <c r="A94" s="1098" t="s">
        <v>4611</v>
      </c>
      <c r="B94" s="1127"/>
      <c r="C94" s="1127"/>
      <c r="D94" s="1127"/>
      <c r="E94" s="1127"/>
      <c r="F94" s="1127"/>
      <c r="G94" s="1127"/>
      <c r="H94" s="1127"/>
      <c r="I94" s="1127"/>
      <c r="J94" s="1127"/>
      <c r="K94" s="1127"/>
      <c r="L94" s="1127"/>
      <c r="M94" s="1127"/>
      <c r="N94" s="1127"/>
      <c r="O94" s="1127"/>
      <c r="P94" s="1127"/>
      <c r="Q94" s="1127"/>
      <c r="R94" s="1127"/>
      <c r="S94" s="1127"/>
      <c r="T94" s="1127"/>
      <c r="U94" s="1127"/>
      <c r="V94" s="1127"/>
      <c r="W94" s="1127"/>
      <c r="X94" s="1127"/>
      <c r="Y94" s="1127"/>
      <c r="Z94" s="1127"/>
      <c r="AA94" s="1127"/>
      <c r="AB94" s="1127"/>
      <c r="AC94" s="1127"/>
      <c r="AD94" s="1127"/>
      <c r="AE94" s="1127"/>
      <c r="AF94" s="1127"/>
      <c r="AG94" s="1127"/>
      <c r="AH94" s="1127"/>
      <c r="AI94" s="1127"/>
      <c r="AJ94" s="1127"/>
      <c r="AK94" s="1127"/>
      <c r="AL94" s="1127"/>
      <c r="AM94" s="1127"/>
      <c r="AN94" s="1127"/>
      <c r="AO94" s="1127"/>
      <c r="AP94" s="1127"/>
      <c r="AQ94" s="1127"/>
      <c r="AR94" s="1127"/>
      <c r="AS94" s="1127"/>
      <c r="AT94" s="1127"/>
      <c r="AU94" s="1127"/>
      <c r="AV94" s="1127"/>
      <c r="AW94" s="1127"/>
      <c r="AX94" s="1127"/>
      <c r="AY94" s="1128"/>
    </row>
    <row r="95" spans="1:51" x14ac:dyDescent="0.3">
      <c r="A95" s="1101" t="s">
        <v>4612</v>
      </c>
      <c r="B95" s="1102"/>
      <c r="C95" s="1102"/>
      <c r="D95" s="1102"/>
      <c r="E95" s="1102"/>
      <c r="F95" s="1102"/>
      <c r="G95" s="1102"/>
      <c r="H95" s="1102"/>
      <c r="I95" s="1102"/>
      <c r="J95" s="1102"/>
      <c r="K95" s="1102"/>
      <c r="L95" s="1102"/>
      <c r="M95" s="1102"/>
      <c r="N95" s="1102"/>
      <c r="O95" s="1102"/>
      <c r="P95" s="1102"/>
      <c r="Q95" s="1102"/>
      <c r="R95" s="1102"/>
      <c r="S95" s="1102"/>
      <c r="T95" s="1102"/>
      <c r="U95" s="1102"/>
      <c r="V95" s="1102"/>
      <c r="W95" s="1102"/>
      <c r="X95" s="1102"/>
      <c r="Y95" s="1102"/>
      <c r="Z95" s="1102"/>
      <c r="AA95" s="1102"/>
      <c r="AB95" s="1102"/>
      <c r="AC95" s="1102"/>
      <c r="AD95" s="1102"/>
      <c r="AE95" s="1102"/>
      <c r="AF95" s="1102"/>
      <c r="AG95" s="1102"/>
      <c r="AH95" s="1102"/>
      <c r="AI95" s="1102"/>
      <c r="AJ95" s="1102"/>
      <c r="AK95" s="1102"/>
      <c r="AL95" s="1102"/>
      <c r="AM95" s="1102"/>
      <c r="AN95" s="1102"/>
      <c r="AO95" s="1102"/>
      <c r="AP95" s="1102"/>
      <c r="AQ95" s="1102"/>
      <c r="AR95" s="1102"/>
      <c r="AS95" s="1102"/>
      <c r="AT95" s="1102"/>
      <c r="AU95" s="1102"/>
      <c r="AV95" s="1102"/>
      <c r="AW95" s="1102"/>
      <c r="AX95" s="1102"/>
      <c r="AY95" s="1103"/>
    </row>
    <row r="96" spans="1:51" x14ac:dyDescent="0.3">
      <c r="A96" s="1098" t="s">
        <v>4613</v>
      </c>
      <c r="B96" s="1127"/>
      <c r="C96" s="1127"/>
      <c r="D96" s="1127"/>
      <c r="E96" s="1127"/>
      <c r="F96" s="1127"/>
      <c r="G96" s="1127"/>
      <c r="H96" s="1127"/>
      <c r="I96" s="1127"/>
      <c r="J96" s="1127"/>
      <c r="K96" s="1127"/>
      <c r="L96" s="1127"/>
      <c r="M96" s="1127"/>
      <c r="N96" s="1127"/>
      <c r="O96" s="1127"/>
      <c r="P96" s="1127"/>
      <c r="Q96" s="1127"/>
      <c r="R96" s="1127"/>
      <c r="S96" s="1127"/>
      <c r="T96" s="1127"/>
      <c r="U96" s="1127"/>
      <c r="V96" s="1127"/>
      <c r="W96" s="1127"/>
      <c r="X96" s="1127"/>
      <c r="Y96" s="1127"/>
      <c r="Z96" s="1127"/>
      <c r="AA96" s="1127"/>
      <c r="AB96" s="1127"/>
      <c r="AC96" s="1127"/>
      <c r="AD96" s="1127"/>
      <c r="AE96" s="1127"/>
      <c r="AF96" s="1127"/>
      <c r="AG96" s="1127"/>
      <c r="AH96" s="1127"/>
      <c r="AI96" s="1127"/>
      <c r="AJ96" s="1127"/>
      <c r="AK96" s="1127"/>
      <c r="AL96" s="1127"/>
      <c r="AM96" s="1127"/>
      <c r="AN96" s="1127"/>
      <c r="AO96" s="1127"/>
      <c r="AP96" s="1127"/>
      <c r="AQ96" s="1127"/>
      <c r="AR96" s="1127"/>
      <c r="AS96" s="1127"/>
      <c r="AT96" s="1127"/>
      <c r="AU96" s="1127"/>
      <c r="AV96" s="1127"/>
      <c r="AW96" s="1127"/>
      <c r="AX96" s="1127"/>
      <c r="AY96" s="1128"/>
    </row>
    <row r="97" spans="1:51" x14ac:dyDescent="0.3">
      <c r="A97" s="1101" t="s">
        <v>4614</v>
      </c>
      <c r="B97" s="1102"/>
      <c r="C97" s="1102"/>
      <c r="D97" s="1102"/>
      <c r="E97" s="1102"/>
      <c r="F97" s="1102"/>
      <c r="G97" s="1102"/>
      <c r="H97" s="1102"/>
      <c r="I97" s="1102"/>
      <c r="J97" s="1102"/>
      <c r="K97" s="1102"/>
      <c r="L97" s="1102"/>
      <c r="M97" s="1102"/>
      <c r="N97" s="1102"/>
      <c r="O97" s="1102"/>
      <c r="P97" s="1102"/>
      <c r="Q97" s="1102"/>
      <c r="R97" s="1102"/>
      <c r="S97" s="1102"/>
      <c r="T97" s="1102"/>
      <c r="U97" s="1102"/>
      <c r="V97" s="1102"/>
      <c r="W97" s="1102"/>
      <c r="X97" s="1102"/>
      <c r="Y97" s="1102"/>
      <c r="Z97" s="1102"/>
      <c r="AA97" s="1102"/>
      <c r="AB97" s="1102"/>
      <c r="AC97" s="1102"/>
      <c r="AD97" s="1102"/>
      <c r="AE97" s="1102"/>
      <c r="AF97" s="1102"/>
      <c r="AG97" s="1102"/>
      <c r="AH97" s="1102"/>
      <c r="AI97" s="1102"/>
      <c r="AJ97" s="1102"/>
      <c r="AK97" s="1102"/>
      <c r="AL97" s="1102"/>
      <c r="AM97" s="1102"/>
      <c r="AN97" s="1102"/>
      <c r="AO97" s="1102"/>
      <c r="AP97" s="1102"/>
      <c r="AQ97" s="1102"/>
      <c r="AR97" s="1102"/>
      <c r="AS97" s="1102"/>
      <c r="AT97" s="1102"/>
      <c r="AU97" s="1102"/>
      <c r="AV97" s="1102"/>
      <c r="AW97" s="1102"/>
      <c r="AX97" s="1102"/>
      <c r="AY97" s="1103"/>
    </row>
    <row r="98" spans="1:51" x14ac:dyDescent="0.3">
      <c r="A98" s="1098" t="s">
        <v>4615</v>
      </c>
      <c r="B98" s="1127"/>
      <c r="C98" s="1127"/>
      <c r="D98" s="1127"/>
      <c r="E98" s="1127"/>
      <c r="F98" s="1127"/>
      <c r="G98" s="1127"/>
      <c r="H98" s="1127"/>
      <c r="I98" s="1127"/>
      <c r="J98" s="1127"/>
      <c r="K98" s="1127"/>
      <c r="L98" s="1127"/>
      <c r="M98" s="1127"/>
      <c r="N98" s="1127"/>
      <c r="O98" s="1127"/>
      <c r="P98" s="1127"/>
      <c r="Q98" s="1127"/>
      <c r="R98" s="1127"/>
      <c r="S98" s="1127"/>
      <c r="T98" s="1127"/>
      <c r="U98" s="1127"/>
      <c r="V98" s="1127"/>
      <c r="W98" s="1127"/>
      <c r="X98" s="1127"/>
      <c r="Y98" s="1127"/>
      <c r="Z98" s="1127"/>
      <c r="AA98" s="1127"/>
      <c r="AB98" s="1127"/>
      <c r="AC98" s="1127"/>
      <c r="AD98" s="1127"/>
      <c r="AE98" s="1127"/>
      <c r="AF98" s="1127"/>
      <c r="AG98" s="1127"/>
      <c r="AH98" s="1127"/>
      <c r="AI98" s="1127"/>
      <c r="AJ98" s="1127"/>
      <c r="AK98" s="1127"/>
      <c r="AL98" s="1127"/>
      <c r="AM98" s="1127"/>
      <c r="AN98" s="1127"/>
      <c r="AO98" s="1127"/>
      <c r="AP98" s="1127"/>
      <c r="AQ98" s="1127"/>
      <c r="AR98" s="1127"/>
      <c r="AS98" s="1127"/>
      <c r="AT98" s="1127"/>
      <c r="AU98" s="1127"/>
      <c r="AV98" s="1127"/>
      <c r="AW98" s="1127"/>
      <c r="AX98" s="1127"/>
      <c r="AY98" s="1128"/>
    </row>
    <row r="99" spans="1:51" x14ac:dyDescent="0.3">
      <c r="A99" s="1101" t="s">
        <v>4616</v>
      </c>
      <c r="B99" s="1102"/>
      <c r="C99" s="1102"/>
      <c r="D99" s="1102"/>
      <c r="E99" s="1102"/>
      <c r="F99" s="1102"/>
      <c r="G99" s="1102"/>
      <c r="H99" s="1102"/>
      <c r="I99" s="1102"/>
      <c r="J99" s="1102"/>
      <c r="K99" s="1102"/>
      <c r="L99" s="1102"/>
      <c r="M99" s="1102"/>
      <c r="N99" s="1102"/>
      <c r="O99" s="1102"/>
      <c r="P99" s="1102"/>
      <c r="Q99" s="1102"/>
      <c r="R99" s="1102"/>
      <c r="S99" s="1102"/>
      <c r="T99" s="1102"/>
      <c r="U99" s="1102"/>
      <c r="V99" s="1102"/>
      <c r="W99" s="1102"/>
      <c r="X99" s="1102"/>
      <c r="Y99" s="1102"/>
      <c r="Z99" s="1102"/>
      <c r="AA99" s="1102"/>
      <c r="AB99" s="1102"/>
      <c r="AC99" s="1102"/>
      <c r="AD99" s="1102"/>
      <c r="AE99" s="1102"/>
      <c r="AF99" s="1102"/>
      <c r="AG99" s="1102"/>
      <c r="AH99" s="1102"/>
      <c r="AI99" s="1102"/>
      <c r="AJ99" s="1102"/>
      <c r="AK99" s="1102"/>
      <c r="AL99" s="1102"/>
      <c r="AM99" s="1102"/>
      <c r="AN99" s="1102"/>
      <c r="AO99" s="1102"/>
      <c r="AP99" s="1102"/>
      <c r="AQ99" s="1102"/>
      <c r="AR99" s="1102"/>
      <c r="AS99" s="1102"/>
      <c r="AT99" s="1102"/>
      <c r="AU99" s="1102"/>
      <c r="AV99" s="1102"/>
      <c r="AW99" s="1102"/>
      <c r="AX99" s="1102"/>
      <c r="AY99" s="1103"/>
    </row>
    <row r="100" spans="1:51" x14ac:dyDescent="0.3">
      <c r="A100" s="1098" t="s">
        <v>4617</v>
      </c>
      <c r="B100" s="1127"/>
      <c r="C100" s="1127"/>
      <c r="D100" s="1127"/>
      <c r="E100" s="1127"/>
      <c r="F100" s="1127"/>
      <c r="G100" s="1127"/>
      <c r="H100" s="1127"/>
      <c r="I100" s="1127"/>
      <c r="J100" s="1127"/>
      <c r="K100" s="1127"/>
      <c r="L100" s="1127"/>
      <c r="M100" s="1127"/>
      <c r="N100" s="1127"/>
      <c r="O100" s="1127"/>
      <c r="P100" s="1127"/>
      <c r="Q100" s="1127"/>
      <c r="R100" s="1127"/>
      <c r="S100" s="1127"/>
      <c r="T100" s="1127"/>
      <c r="U100" s="1127"/>
      <c r="V100" s="1127"/>
      <c r="W100" s="1127"/>
      <c r="X100" s="1127"/>
      <c r="Y100" s="1127"/>
      <c r="Z100" s="1127"/>
      <c r="AA100" s="1127"/>
      <c r="AB100" s="1127"/>
      <c r="AC100" s="1127"/>
      <c r="AD100" s="1127"/>
      <c r="AE100" s="1127"/>
      <c r="AF100" s="1127"/>
      <c r="AG100" s="1127"/>
      <c r="AH100" s="1127"/>
      <c r="AI100" s="1127"/>
      <c r="AJ100" s="1127"/>
      <c r="AK100" s="1127"/>
      <c r="AL100" s="1127"/>
      <c r="AM100" s="1127"/>
      <c r="AN100" s="1127"/>
      <c r="AO100" s="1127"/>
      <c r="AP100" s="1127"/>
      <c r="AQ100" s="1127"/>
      <c r="AR100" s="1127"/>
      <c r="AS100" s="1127"/>
      <c r="AT100" s="1127"/>
      <c r="AU100" s="1127"/>
      <c r="AV100" s="1127"/>
      <c r="AW100" s="1127"/>
      <c r="AX100" s="1127"/>
      <c r="AY100" s="1128"/>
    </row>
    <row r="101" spans="1:51" x14ac:dyDescent="0.3">
      <c r="A101" s="1101" t="s">
        <v>4618</v>
      </c>
      <c r="B101" s="1102"/>
      <c r="C101" s="1102"/>
      <c r="D101" s="1102"/>
      <c r="E101" s="1102"/>
      <c r="F101" s="1102"/>
      <c r="G101" s="1102"/>
      <c r="H101" s="1102"/>
      <c r="I101" s="1102"/>
      <c r="J101" s="1102"/>
      <c r="K101" s="1102"/>
      <c r="L101" s="1102"/>
      <c r="M101" s="1102"/>
      <c r="N101" s="1102"/>
      <c r="O101" s="1102"/>
      <c r="P101" s="1102"/>
      <c r="Q101" s="1102"/>
      <c r="R101" s="1102"/>
      <c r="S101" s="1102"/>
      <c r="T101" s="1102"/>
      <c r="U101" s="1102"/>
      <c r="V101" s="1102"/>
      <c r="W101" s="1102"/>
      <c r="X101" s="1102"/>
      <c r="Y101" s="1102"/>
      <c r="Z101" s="1102"/>
      <c r="AA101" s="1102"/>
      <c r="AB101" s="1102"/>
      <c r="AC101" s="1102"/>
      <c r="AD101" s="1102"/>
      <c r="AE101" s="1102"/>
      <c r="AF101" s="1102"/>
      <c r="AG101" s="1102"/>
      <c r="AH101" s="1102"/>
      <c r="AI101" s="1102"/>
      <c r="AJ101" s="1102"/>
      <c r="AK101" s="1102"/>
      <c r="AL101" s="1102"/>
      <c r="AM101" s="1102"/>
      <c r="AN101" s="1102"/>
      <c r="AO101" s="1102"/>
      <c r="AP101" s="1102"/>
      <c r="AQ101" s="1102"/>
      <c r="AR101" s="1102"/>
      <c r="AS101" s="1102"/>
      <c r="AT101" s="1102"/>
      <c r="AU101" s="1102"/>
      <c r="AV101" s="1102"/>
      <c r="AW101" s="1102"/>
      <c r="AX101" s="1102"/>
      <c r="AY101" s="1103"/>
    </row>
    <row r="102" spans="1:51" x14ac:dyDescent="0.3">
      <c r="A102" s="1098" t="s">
        <v>4619</v>
      </c>
      <c r="B102" s="1127"/>
      <c r="C102" s="1127"/>
      <c r="D102" s="1127"/>
      <c r="E102" s="1127"/>
      <c r="F102" s="1127"/>
      <c r="G102" s="1127"/>
      <c r="H102" s="1127"/>
      <c r="I102" s="1127"/>
      <c r="J102" s="1127"/>
      <c r="K102" s="1127"/>
      <c r="L102" s="1127"/>
      <c r="M102" s="1127"/>
      <c r="N102" s="1127"/>
      <c r="O102" s="1127"/>
      <c r="P102" s="1127"/>
      <c r="Q102" s="1127"/>
      <c r="R102" s="1127"/>
      <c r="S102" s="1127"/>
      <c r="T102" s="1127"/>
      <c r="U102" s="1127"/>
      <c r="V102" s="1127"/>
      <c r="W102" s="1127"/>
      <c r="X102" s="1127"/>
      <c r="Y102" s="1127"/>
      <c r="Z102" s="1127"/>
      <c r="AA102" s="1127"/>
      <c r="AB102" s="1127"/>
      <c r="AC102" s="1127"/>
      <c r="AD102" s="1127"/>
      <c r="AE102" s="1127"/>
      <c r="AF102" s="1127"/>
      <c r="AG102" s="1127"/>
      <c r="AH102" s="1127"/>
      <c r="AI102" s="1127"/>
      <c r="AJ102" s="1127"/>
      <c r="AK102" s="1127"/>
      <c r="AL102" s="1127"/>
      <c r="AM102" s="1127"/>
      <c r="AN102" s="1127"/>
      <c r="AO102" s="1127"/>
      <c r="AP102" s="1127"/>
      <c r="AQ102" s="1127"/>
      <c r="AR102" s="1127"/>
      <c r="AS102" s="1127"/>
      <c r="AT102" s="1127"/>
      <c r="AU102" s="1127"/>
      <c r="AV102" s="1127"/>
      <c r="AW102" s="1127"/>
      <c r="AX102" s="1127"/>
      <c r="AY102" s="1128"/>
    </row>
    <row r="103" spans="1:51" x14ac:dyDescent="0.3">
      <c r="A103" s="1101" t="s">
        <v>4620</v>
      </c>
      <c r="B103" s="1102"/>
      <c r="C103" s="1102"/>
      <c r="D103" s="1102"/>
      <c r="E103" s="1102"/>
      <c r="F103" s="1102"/>
      <c r="G103" s="1102"/>
      <c r="H103" s="1102"/>
      <c r="I103" s="1102"/>
      <c r="J103" s="1102"/>
      <c r="K103" s="1102"/>
      <c r="L103" s="1102"/>
      <c r="M103" s="1102"/>
      <c r="N103" s="1102"/>
      <c r="O103" s="1102"/>
      <c r="P103" s="1102"/>
      <c r="Q103" s="1102"/>
      <c r="R103" s="1102"/>
      <c r="S103" s="1102"/>
      <c r="T103" s="1102"/>
      <c r="U103" s="1102"/>
      <c r="V103" s="1102"/>
      <c r="W103" s="1102"/>
      <c r="X103" s="1102"/>
      <c r="Y103" s="1102"/>
      <c r="Z103" s="1102"/>
      <c r="AA103" s="1102"/>
      <c r="AB103" s="1102"/>
      <c r="AC103" s="1102"/>
      <c r="AD103" s="1102"/>
      <c r="AE103" s="1102"/>
      <c r="AF103" s="1102"/>
      <c r="AG103" s="1102"/>
      <c r="AH103" s="1102"/>
      <c r="AI103" s="1102"/>
      <c r="AJ103" s="1102"/>
      <c r="AK103" s="1102"/>
      <c r="AL103" s="1102"/>
      <c r="AM103" s="1102"/>
      <c r="AN103" s="1102"/>
      <c r="AO103" s="1102"/>
      <c r="AP103" s="1102"/>
      <c r="AQ103" s="1102"/>
      <c r="AR103" s="1102"/>
      <c r="AS103" s="1102"/>
      <c r="AT103" s="1102"/>
      <c r="AU103" s="1102"/>
      <c r="AV103" s="1102"/>
      <c r="AW103" s="1102"/>
      <c r="AX103" s="1102"/>
      <c r="AY103" s="1103"/>
    </row>
    <row r="104" spans="1:51" x14ac:dyDescent="0.3">
      <c r="A104" s="1098" t="s">
        <v>4621</v>
      </c>
      <c r="B104" s="1127"/>
      <c r="C104" s="1127"/>
      <c r="D104" s="1127"/>
      <c r="E104" s="1127"/>
      <c r="F104" s="1127"/>
      <c r="G104" s="1127"/>
      <c r="H104" s="1127"/>
      <c r="I104" s="1127"/>
      <c r="J104" s="1127"/>
      <c r="K104" s="1127"/>
      <c r="L104" s="1127"/>
      <c r="M104" s="1127"/>
      <c r="N104" s="1127"/>
      <c r="O104" s="1127"/>
      <c r="P104" s="1127"/>
      <c r="Q104" s="1127"/>
      <c r="R104" s="1127"/>
      <c r="S104" s="1127"/>
      <c r="T104" s="1127"/>
      <c r="U104" s="1127"/>
      <c r="V104" s="1127"/>
      <c r="W104" s="1127"/>
      <c r="X104" s="1127"/>
      <c r="Y104" s="1127"/>
      <c r="Z104" s="1127"/>
      <c r="AA104" s="1127"/>
      <c r="AB104" s="1127"/>
      <c r="AC104" s="1127"/>
      <c r="AD104" s="1127"/>
      <c r="AE104" s="1127"/>
      <c r="AF104" s="1127"/>
      <c r="AG104" s="1127"/>
      <c r="AH104" s="1127"/>
      <c r="AI104" s="1127"/>
      <c r="AJ104" s="1127"/>
      <c r="AK104" s="1127"/>
      <c r="AL104" s="1127"/>
      <c r="AM104" s="1127"/>
      <c r="AN104" s="1127"/>
      <c r="AO104" s="1127"/>
      <c r="AP104" s="1127"/>
      <c r="AQ104" s="1127"/>
      <c r="AR104" s="1127"/>
      <c r="AS104" s="1127"/>
      <c r="AT104" s="1127"/>
      <c r="AU104" s="1127"/>
      <c r="AV104" s="1127"/>
      <c r="AW104" s="1127"/>
      <c r="AX104" s="1127"/>
      <c r="AY104" s="1128"/>
    </row>
    <row r="105" spans="1:51" x14ac:dyDescent="0.3">
      <c r="A105" s="1101" t="s">
        <v>4622</v>
      </c>
      <c r="B105" s="1102"/>
      <c r="C105" s="1102"/>
      <c r="D105" s="1102"/>
      <c r="E105" s="1102"/>
      <c r="F105" s="1102"/>
      <c r="G105" s="1102"/>
      <c r="H105" s="1102"/>
      <c r="I105" s="1102"/>
      <c r="J105" s="1102"/>
      <c r="K105" s="1102"/>
      <c r="L105" s="1102"/>
      <c r="M105" s="1102"/>
      <c r="N105" s="1102"/>
      <c r="O105" s="1102"/>
      <c r="P105" s="1102"/>
      <c r="Q105" s="1102"/>
      <c r="R105" s="1102"/>
      <c r="S105" s="1102"/>
      <c r="T105" s="1102"/>
      <c r="U105" s="1102"/>
      <c r="V105" s="1102"/>
      <c r="W105" s="1102"/>
      <c r="X105" s="1102"/>
      <c r="Y105" s="1102"/>
      <c r="Z105" s="1102"/>
      <c r="AA105" s="1102"/>
      <c r="AB105" s="1102"/>
      <c r="AC105" s="1102"/>
      <c r="AD105" s="1102"/>
      <c r="AE105" s="1102"/>
      <c r="AF105" s="1102"/>
      <c r="AG105" s="1102"/>
      <c r="AH105" s="1102"/>
      <c r="AI105" s="1102"/>
      <c r="AJ105" s="1102"/>
      <c r="AK105" s="1102"/>
      <c r="AL105" s="1102"/>
      <c r="AM105" s="1102"/>
      <c r="AN105" s="1102"/>
      <c r="AO105" s="1102"/>
      <c r="AP105" s="1102"/>
      <c r="AQ105" s="1102"/>
      <c r="AR105" s="1102"/>
      <c r="AS105" s="1102"/>
      <c r="AT105" s="1102"/>
      <c r="AU105" s="1102"/>
      <c r="AV105" s="1102"/>
      <c r="AW105" s="1102"/>
      <c r="AX105" s="1102"/>
      <c r="AY105" s="1103"/>
    </row>
    <row r="106" spans="1:51" x14ac:dyDescent="0.3">
      <c r="A106" s="1098" t="s">
        <v>4623</v>
      </c>
      <c r="B106" s="1127"/>
      <c r="C106" s="1127"/>
      <c r="D106" s="1127"/>
      <c r="E106" s="1127"/>
      <c r="F106" s="1127"/>
      <c r="G106" s="1127"/>
      <c r="H106" s="1127"/>
      <c r="I106" s="1127"/>
      <c r="J106" s="1127"/>
      <c r="K106" s="1127"/>
      <c r="L106" s="1127"/>
      <c r="M106" s="1127"/>
      <c r="N106" s="1127"/>
      <c r="O106" s="1127"/>
      <c r="P106" s="1127"/>
      <c r="Q106" s="1127"/>
      <c r="R106" s="1127"/>
      <c r="S106" s="1127"/>
      <c r="T106" s="1127"/>
      <c r="U106" s="1127"/>
      <c r="V106" s="1127"/>
      <c r="W106" s="1127"/>
      <c r="X106" s="1127"/>
      <c r="Y106" s="1127"/>
      <c r="Z106" s="1127"/>
      <c r="AA106" s="1127"/>
      <c r="AB106" s="1127"/>
      <c r="AC106" s="1127"/>
      <c r="AD106" s="1127"/>
      <c r="AE106" s="1127"/>
      <c r="AF106" s="1127"/>
      <c r="AG106" s="1127"/>
      <c r="AH106" s="1127"/>
      <c r="AI106" s="1127"/>
      <c r="AJ106" s="1127"/>
      <c r="AK106" s="1127"/>
      <c r="AL106" s="1127"/>
      <c r="AM106" s="1127"/>
      <c r="AN106" s="1127"/>
      <c r="AO106" s="1127"/>
      <c r="AP106" s="1127"/>
      <c r="AQ106" s="1127"/>
      <c r="AR106" s="1127"/>
      <c r="AS106" s="1127"/>
      <c r="AT106" s="1127"/>
      <c r="AU106" s="1127"/>
      <c r="AV106" s="1127"/>
      <c r="AW106" s="1127"/>
      <c r="AX106" s="1127"/>
      <c r="AY106" s="1128"/>
    </row>
    <row r="107" spans="1:51" x14ac:dyDescent="0.3">
      <c r="A107" s="1129" t="s">
        <v>4624</v>
      </c>
      <c r="B107" s="1122"/>
      <c r="C107" s="1122"/>
      <c r="D107" s="1122"/>
      <c r="E107" s="1122"/>
      <c r="F107" s="1122"/>
      <c r="G107" s="1122"/>
      <c r="H107" s="1122"/>
      <c r="I107" s="1122"/>
      <c r="J107" s="1122"/>
      <c r="K107" s="1122"/>
      <c r="L107" s="1122"/>
      <c r="M107" s="1122"/>
      <c r="N107" s="1122"/>
      <c r="O107" s="1122"/>
      <c r="P107" s="1122"/>
      <c r="Q107" s="1122"/>
      <c r="R107" s="1122"/>
      <c r="S107" s="1122"/>
      <c r="T107" s="1122"/>
      <c r="U107" s="1122"/>
      <c r="V107" s="1122"/>
      <c r="W107" s="1122"/>
      <c r="X107" s="1122"/>
      <c r="Y107" s="1122"/>
      <c r="Z107" s="1122"/>
      <c r="AA107" s="1122"/>
      <c r="AB107" s="1122"/>
      <c r="AC107" s="1122"/>
      <c r="AD107" s="1122"/>
      <c r="AE107" s="1122"/>
      <c r="AF107" s="1122"/>
      <c r="AG107" s="1122"/>
      <c r="AH107" s="1122"/>
      <c r="AI107" s="1122"/>
      <c r="AJ107" s="1122"/>
      <c r="AK107" s="1122"/>
      <c r="AL107" s="1122"/>
      <c r="AM107" s="1122"/>
      <c r="AN107" s="1122"/>
      <c r="AO107" s="1122"/>
      <c r="AP107" s="1122"/>
      <c r="AQ107" s="1122"/>
      <c r="AR107" s="1122"/>
      <c r="AS107" s="1122"/>
      <c r="AT107" s="1122"/>
      <c r="AU107" s="1122"/>
      <c r="AV107" s="1122"/>
      <c r="AW107" s="1122"/>
      <c r="AX107" s="1122"/>
      <c r="AY107" s="1123"/>
    </row>
    <row r="108" spans="1:51" ht="15" thickBot="1" x14ac:dyDescent="0.35">
      <c r="A108" s="1130" t="s">
        <v>4625</v>
      </c>
      <c r="B108" s="1131"/>
      <c r="C108" s="1131"/>
      <c r="D108" s="1131"/>
      <c r="E108" s="1131"/>
      <c r="F108" s="1131"/>
      <c r="G108" s="1131"/>
      <c r="H108" s="1131"/>
      <c r="I108" s="1131"/>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2"/>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36" t="s">
        <v>3648</v>
      </c>
      <c r="B1" s="1137"/>
      <c r="C1" s="1138"/>
    </row>
    <row r="2" spans="1:5" s="10" customFormat="1" ht="15" thickTop="1" x14ac:dyDescent="0.3">
      <c r="A2" s="19"/>
      <c r="B2" s="19"/>
      <c r="C2" s="19"/>
    </row>
    <row r="3" spans="1:5" ht="15" thickBot="1" x14ac:dyDescent="0.35">
      <c r="A3" s="10"/>
      <c r="B3" s="10"/>
      <c r="C3" s="10"/>
      <c r="D3" s="10"/>
    </row>
    <row r="4" spans="1:5" ht="15" thickBot="1" x14ac:dyDescent="0.35">
      <c r="A4" s="1133" t="s">
        <v>3649</v>
      </c>
      <c r="B4" s="1134"/>
      <c r="C4" s="1134"/>
      <c r="D4" s="1134"/>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3" t="s">
        <v>3652</v>
      </c>
      <c r="B8" s="1134"/>
      <c r="C8" s="1134"/>
      <c r="D8" s="1135"/>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33" t="s">
        <v>3653</v>
      </c>
      <c r="B12" s="1134"/>
      <c r="C12" s="1134"/>
      <c r="D12" s="1135"/>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3" t="s">
        <v>3654</v>
      </c>
      <c r="B16" s="1134"/>
      <c r="C16" s="1134"/>
      <c r="D16" s="1135"/>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3" t="s">
        <v>3655</v>
      </c>
      <c r="B20" s="1134"/>
      <c r="C20" s="1134"/>
      <c r="D20" s="1135"/>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election activeCell="A10" sqref="A10"/>
    </sheetView>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A2" zoomScale="80" zoomScaleNormal="80" workbookViewId="0">
      <selection activeCell="C23" sqref="C23"/>
    </sheetView>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01/01/2024 to 31/12/2024</v>
      </c>
      <c r="D1" t="s">
        <v>4507</v>
      </c>
      <c r="E1" t="s">
        <v>4508</v>
      </c>
      <c r="F1" t="s">
        <v>4509</v>
      </c>
      <c r="G1" t="s">
        <v>4510</v>
      </c>
    </row>
    <row r="2" spans="1:7" ht="13.8" customHeight="1" x14ac:dyDescent="0.3">
      <c r="A2" t="s">
        <v>3792</v>
      </c>
      <c r="B2" t="str">
        <f xml:space="preserve"> "at "  &amp; template_reporting_period_enddate</f>
        <v>at 31/12/2024</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[{"place_id":67685685,"licence":"Data © OpenStreetMap contributors, ODbL 1.0. http://osm.org/copyright","osm_type":"way","osm_id":204721782,"lat":"45.4634273","lon":"9.1919874","class":"tourism","type":"museum","place_rank":30,"importance":0.3209595241704991,"addresstype":"tourism","name":"Grande Museo del Duomo di Milano","display_name":"Grande Museo del Duomo di Milano, Piazzetta Reale, Duomo, Municipio 1, Milano, Lombardia, 20122, Italia","address":{"tourism":"Grande Museo del Duomo di Milano","road":"Piazzetta Reale","quarter":"Duomo","suburb":"Municipio 1","city":"Milano","county":"Milano","ISO3166-2-lvl6":"IT-MI","state":"Lombardia","ISO3166-2-lvl4":"IT-25","postcode":"20122","country":"Italia","country_code":"it"},"boundingbox":["45.4632503","45.4636299","9.1914028","9.1920961"]}]</v>
      </c>
      <c r="E2" s="371" t="str">
        <f t="shared" ref="E2:E26" si="0">MID(D2,SEARCH("""lat"":""",D2)+7,SEARCH("""lon"":""",D2)-SEARCH("""lat"":""",D2)-9)</f>
        <v>45.4634273</v>
      </c>
      <c r="F2" s="371" t="str">
        <f t="shared" ref="F2:F26" si="1">MID(D2, SEARCH("""lon"":""", D2) + 7, SEARCH("""class""", D2) - SEARCH("""lon"":""", D2) - 9)</f>
        <v>9.1919874</v>
      </c>
      <c r="G2" t="str">
        <f t="shared" ref="G2:G26" si="2">E2 &amp; "," &amp; F2</f>
        <v>45.4634273,9.1919874</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2025-10-27T14:05:50Z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