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Tendência_temporal" sheetId="3" r:id="rId6"/>
    <sheet state="visible" name="Compra_venda" sheetId="4" r:id="rId7"/>
    <sheet state="visible" name="cliente_compra_venda" sheetId="5" r:id="rId8"/>
    <sheet state="visible" name="cliente_lucro_prejuizo" sheetId="6" r:id="rId9"/>
    <sheet state="visible" name="Gráficos" sheetId="7" r:id="rId10"/>
    <sheet state="visible" name="Cliente" sheetId="8" r:id="rId11"/>
  </sheets>
  <definedNames>
    <definedName hidden="1" localSheetId="0" name="_xlnm._FilterDatabase">mercado_acoes!$A$1:$I$2004</definedName>
    <definedName hidden="1" localSheetId="7" name="_xlnm._FilterDatabase">Cliente!$B$1:$F$2001</definedName>
    <definedName hidden="1" localSheetId="0" name="Z_C667E12F_CDC0_4C6D_A8CF_45319C7AB849_.wvu.FilterData">mercado_acoes!$A$1:$I$2004</definedName>
    <definedName hidden="1" localSheetId="0" name="Z_4000B806_4495_4DE0_83BE_B516A7EB2EC4_.wvu.FilterData">mercado_acoes!$A$1:$I$2004</definedName>
    <definedName hidden="1" localSheetId="0" name="Z_4000B806_4495_4DE0_83BE_B516A7EB2EC4_.wvu.FilterData">mercado_acoes!$A$1:$I$2004</definedName>
    <definedName hidden="1" localSheetId="0" name="Z_99F2AF2E_9226_4557_8777_29DE57778F7A_.wvu.FilterData">mercado_acoes!$A$1:$I$2004</definedName>
  </definedNames>
  <calcPr/>
  <customWorkbookViews>
    <customWorkbookView activeSheetId="0" maximized="1" windowHeight="0" windowWidth="0" guid="{C667E12F-CDC0-4C6D-A8CF-45319C7AB849}" name="VISUALIZAÇÃO DE VENDA"/>
    <customWorkbookView activeSheetId="0" maximized="1" windowHeight="0" windowWidth="0" guid="{4000B806-4495-4DE0-83BE-B516A7EB2EC4}" name="Filtro 1"/>
    <customWorkbookView activeSheetId="0" maximized="1" windowHeight="0" windowWidth="0" guid="{99F2AF2E-9226-4557-8777-29DE57778F7A}" name="VISUALIZAÇÃO DE COMPRA"/>
  </customWorkbookViews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<sst xmlns="http://schemas.openxmlformats.org/spreadsheetml/2006/main" count="17502" uniqueCount="357">
  <si>
    <t>Código Cliente</t>
  </si>
  <si>
    <t>Nome cliente</t>
  </si>
  <si>
    <t>Email Cliente</t>
  </si>
  <si>
    <t>Operação</t>
  </si>
  <si>
    <t>Stiker</t>
  </si>
  <si>
    <t>Preco</t>
  </si>
  <si>
    <t>Normalização dos Preços</t>
  </si>
  <si>
    <t>Data</t>
  </si>
  <si>
    <t>Mês</t>
  </si>
  <si>
    <t>Larissa Gomes</t>
  </si>
  <si>
    <t>larissa.gomes94@exemplo.com</t>
  </si>
  <si>
    <t>Compra</t>
  </si>
  <si>
    <t>IGTA3</t>
  </si>
  <si>
    <t>Op. Mensais</t>
  </si>
  <si>
    <t>-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</si>
  <si>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</si>
  <si>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</si>
  <si>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</si>
  <si>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</si>
  <si>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</si>
  <si>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</si>
  <si>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</si>
  <si>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</si>
  <si>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</si>
  <si>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</si>
  <si>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</si>
  <si>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</si>
  <si>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Op. p/ Stiker</t>
  </si>
  <si>
    <t>Gabriela Mendes</t>
  </si>
  <si>
    <t>gabriela.mendes90@exemplo.com</t>
  </si>
  <si>
    <t>Venda</t>
  </si>
  <si>
    <t>VIVT3</t>
  </si>
  <si>
    <t>Jan</t>
  </si>
  <si>
    <t>Camila Rocha</t>
  </si>
  <si>
    <t>camila.rocha10@exemplo.com</t>
  </si>
  <si>
    <t>LREN3</t>
  </si>
  <si>
    <t>Fev</t>
  </si>
  <si>
    <t>Beatriz Almeida</t>
  </si>
  <si>
    <t>beatriz.almeida66@exemplo.com</t>
  </si>
  <si>
    <t>PETR4</t>
  </si>
  <si>
    <t>Mar</t>
  </si>
  <si>
    <t>Sofia Melo</t>
  </si>
  <si>
    <t>sofia.melo31@exemplo.com</t>
  </si>
  <si>
    <t>CSAN3</t>
  </si>
  <si>
    <t>Abr</t>
  </si>
  <si>
    <t>sofia.melo78@exemplo.com</t>
  </si>
  <si>
    <t>ABEV3</t>
  </si>
  <si>
    <t>Mai</t>
  </si>
  <si>
    <t>Lucas Cardoso</t>
  </si>
  <si>
    <t>lucas.cardoso77@exemplo.com</t>
  </si>
  <si>
    <t>ITUB4</t>
  </si>
  <si>
    <t>Jun</t>
  </si>
  <si>
    <t>RENT3</t>
  </si>
  <si>
    <t>Jul</t>
  </si>
  <si>
    <t>Clara Costa</t>
  </si>
  <si>
    <t>clara.costa91@exemplo.com</t>
  </si>
  <si>
    <t>VALE3</t>
  </si>
  <si>
    <t>Ago</t>
  </si>
  <si>
    <t>Felipe Ribeiro</t>
  </si>
  <si>
    <t>felipe.ribeiro44@exemplo.com</t>
  </si>
  <si>
    <t>BBAS3</t>
  </si>
  <si>
    <t>Set</t>
  </si>
  <si>
    <t>Guilherme Oliveira</t>
  </si>
  <si>
    <t>guilherme.oliveira36@exemplo.com</t>
  </si>
  <si>
    <t>Out</t>
  </si>
  <si>
    <t>Marcos Costa</t>
  </si>
  <si>
    <t>marcos.costa57@exemplo.com</t>
  </si>
  <si>
    <t>Nov</t>
  </si>
  <si>
    <t>BHIA3</t>
  </si>
  <si>
    <t>Laura Rodrigues</t>
  </si>
  <si>
    <t>laura.rodrigues54@exemplo.com</t>
  </si>
  <si>
    <t>Dez</t>
  </si>
  <si>
    <t>JBSS3</t>
  </si>
  <si>
    <t>Pedro Lima</t>
  </si>
  <si>
    <t>pedro.lima14@exemplo.com</t>
  </si>
  <si>
    <t>Total</t>
  </si>
  <si>
    <t>TAEE4</t>
  </si>
  <si>
    <t>Rafael Cardoso</t>
  </si>
  <si>
    <t>rafael.cardoso85@exemplo.com</t>
  </si>
  <si>
    <t>CPFE3</t>
  </si>
  <si>
    <t>Mateus Santos</t>
  </si>
  <si>
    <t>mateus.santos41@exemplo.com</t>
  </si>
  <si>
    <t>B3SA3</t>
  </si>
  <si>
    <t>Isabella Ferreira</t>
  </si>
  <si>
    <t>isabella.ferreira95@exemplo.com</t>
  </si>
  <si>
    <t>BBDC4</t>
  </si>
  <si>
    <t>Gustavo Santos</t>
  </si>
  <si>
    <t>gustavo.santos79@exemplo.com</t>
  </si>
  <si>
    <t>WEGE3</t>
  </si>
  <si>
    <t>Amanda Rocha</t>
  </si>
  <si>
    <t>amanda.rocha53@exemplo.com</t>
  </si>
  <si>
    <t>MGLU3</t>
  </si>
  <si>
    <t>Clara Pereira</t>
  </si>
  <si>
    <t>clara.pereira11@exemplo.com</t>
  </si>
  <si>
    <t>SANB11</t>
  </si>
  <si>
    <t>Luis Rocha</t>
  </si>
  <si>
    <t>luis.rocha1@exemplo.com</t>
  </si>
  <si>
    <t>HAPV3</t>
  </si>
  <si>
    <t>Felipe Oliveira</t>
  </si>
  <si>
    <t>felipe.oliveira37@exemplo.com</t>
  </si>
  <si>
    <t>Siker menos operado</t>
  </si>
  <si>
    <t>Larissa Carvalho</t>
  </si>
  <si>
    <t>larissa.carvalho96@exemplo.com</t>
  </si>
  <si>
    <t>Ana Oliveira</t>
  </si>
  <si>
    <t>ana.oliveira96@exemplo.com</t>
  </si>
  <si>
    <t>Stiker na média</t>
  </si>
  <si>
    <t>Alice Machado</t>
  </si>
  <si>
    <t>alice.machado47@exemplo.com</t>
  </si>
  <si>
    <t>Laura Lima</t>
  </si>
  <si>
    <t>laura.lima68@exemplo.com</t>
  </si>
  <si>
    <t>Camila Lima</t>
  </si>
  <si>
    <t>camila.lima44@exemplo.com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</si>
  <si>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</si>
  <si>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</si>
  <si>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</si>
  <si>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</si>
  <si>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</si>
  <si>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</si>
  <si>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</si>
  <si>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</si>
  <si>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</si>
  <si>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</si>
  <si>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</si>
  <si>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</si>
  <si>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</si>
  <si>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</si>
  <si>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</si>
  <si>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</si>
  <si>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</si>
  <si>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</si>
  <si>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</si>
  <si>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</si>
  <si>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</si>
  <si>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</si>
  <si>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</si>
  <si>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</si>
  <si>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</si>
  <si>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</si>
  <si>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</si>
  <si>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</si>
  <si>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</si>
  <si>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</si>
  <si>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</si>
  <si>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</si>
  <si>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</si>
  <si>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</si>
  <si>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</si>
  <si>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</si>
  <si>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</si>
  <si>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</si>
  <si>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</si>
  <si>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</si>
  <si>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</si>
  <si>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</si>
  <si>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</si>
  <si>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</si>
  <si>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</si>
  <si>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</si>
  <si>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</si>
  <si>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</si>
  <si>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</si>
  <si>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</si>
  <si>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</si>
  <si>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</si>
  <si>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</si>
  <si>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</si>
  <si>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</si>
  <si>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</si>
  <si>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</si>
  <si>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</si>
  <si>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</si>
  <si>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</si>
  <si>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</si>
  <si>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</si>
  <si>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</si>
  <si>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</si>
  <si>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</si>
  <si>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</si>
  <si>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</si>
  <si>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</si>
  <si>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</si>
  <si>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</si>
  <si>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</si>
  <si>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</si>
  <si>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</si>
  <si>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</si>
  <si>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</si>
  <si>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</si>
  <si>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</si>
  <si>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</si>
  <si>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</si>
  <si>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</si>
  <si>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</si>
  <si>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</si>
  <si>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</si>
  <si>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</si>
  <si>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</si>
  <si>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</si>
  <si>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</si>
  <si>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</si>
  <si>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</si>
  <si>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</si>
  <si>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</si>
  <si>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</si>
  <si>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</si>
  <si>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</si>
  <si>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</si>
  <si>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</si>
  <si>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</si>
  <si>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</si>
  <si>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</si>
  <si>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</si>
  <si>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</si>
  <si>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</si>
  <si>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</si>
  <si>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</si>
  <si>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</si>
  <si>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</si>
  <si>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</si>
  <si>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</si>
  <si>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</si>
  <si>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</si>
  <si>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</si>
  <si>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</si>
  <si>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</si>
  <si>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</si>
  <si>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</si>
  <si>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</si>
  <si>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</si>
  <si>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</si>
  <si>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</si>
  <si>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</si>
  <si>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</si>
  <si>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</si>
  <si>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</si>
  <si>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</si>
  <si>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</si>
  <si>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</si>
  <si>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</si>
  <si>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</si>
  <si>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</si>
  <si>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</si>
  <si>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</si>
  <si>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</si>
  <si>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</si>
  <si>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</si>
  <si>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</si>
  <si>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Cód. Cliente</t>
  </si>
  <si>
    <t>Soma</t>
  </si>
  <si>
    <t>Mínimo</t>
  </si>
  <si>
    <t>Máximo</t>
  </si>
  <si>
    <t>Média</t>
  </si>
  <si>
    <t>Mediana</t>
  </si>
  <si>
    <t>Moda</t>
  </si>
  <si>
    <t>Variância</t>
  </si>
  <si>
    <t>Desvio Padrão</t>
  </si>
  <si>
    <t>Calcúlo Operações</t>
  </si>
  <si>
    <t>Cod. Cliente</t>
  </si>
  <si>
    <t>E-mail cliente</t>
  </si>
  <si>
    <t>Operação total</t>
  </si>
  <si>
    <t>Stiker menos operado</t>
  </si>
  <si>
    <t>Previsão de op. DEZ</t>
  </si>
  <si>
    <t xml:space="preserve">Margem de erro </t>
  </si>
  <si>
    <t>Valor total de op. (1 a 11)</t>
  </si>
  <si>
    <t>Valor total de op. (12)</t>
  </si>
  <si>
    <t xml:space="preserve"> Operação</t>
  </si>
  <si>
    <t>Total geral</t>
  </si>
  <si>
    <t>SUM de Normalização dos Preços</t>
  </si>
  <si>
    <t>Alice Machado Total</t>
  </si>
  <si>
    <t>Amanda Almeida Total</t>
  </si>
  <si>
    <t>Amanda Mendes Total</t>
  </si>
  <si>
    <t>Amanda Rocha Total</t>
  </si>
  <si>
    <t>Amanda Santos Total</t>
  </si>
  <si>
    <t>Ana Carvalho Total</t>
  </si>
  <si>
    <t>Ana Ferreira Total</t>
  </si>
  <si>
    <t>Ana Oliveira Total</t>
  </si>
  <si>
    <t>Ana Santos Total</t>
  </si>
  <si>
    <t>Beatriz Almeida Total</t>
  </si>
  <si>
    <t>Beatriz Ribeiro Total</t>
  </si>
  <si>
    <t>Beatriz Silva Total</t>
  </si>
  <si>
    <t>Bruno Melo Total</t>
  </si>
  <si>
    <t>Bruno Rodrigues Total</t>
  </si>
  <si>
    <t>Camila Lima Total</t>
  </si>
  <si>
    <t>Camila Oliveira Total</t>
  </si>
  <si>
    <t>Camila Pereira Total</t>
  </si>
  <si>
    <t>Camila Rocha Total</t>
  </si>
  <si>
    <t>Camila Souza Total</t>
  </si>
  <si>
    <t>Clara Costa Total</t>
  </si>
  <si>
    <t>Clara Pereira Total</t>
  </si>
  <si>
    <t>Eduardo Fonseca Total</t>
  </si>
  <si>
    <t>Eduardo Pereira Total</t>
  </si>
  <si>
    <t>Eduardo Silva Total</t>
  </si>
  <si>
    <t>Felipe Oliveira Total</t>
  </si>
  <si>
    <t>Felipe Ribeiro Total</t>
  </si>
  <si>
    <t>Felipe Santos Total</t>
  </si>
  <si>
    <t>Felipe Silva Total</t>
  </si>
  <si>
    <t>Gabriel Fonseca Total</t>
  </si>
  <si>
    <t>Gabriel Machado Total</t>
  </si>
  <si>
    <t>Gabriel Oliveira Total</t>
  </si>
  <si>
    <t>Gabriela Almeida Total</t>
  </si>
  <si>
    <t>Gabriela Costa Total</t>
  </si>
  <si>
    <t>Gabriela Melo Total</t>
  </si>
  <si>
    <t>Gabriela Mendes Total</t>
  </si>
  <si>
    <t>Gabriela Pereira Total</t>
  </si>
  <si>
    <t>Giovanna Carvalho Total</t>
  </si>
  <si>
    <t>Giovanna Gomes Total</t>
  </si>
  <si>
    <t>Giovanna Pereira Total</t>
  </si>
  <si>
    <t>Giovanna Rocha Total</t>
  </si>
  <si>
    <t>Guilherme Ferreira Total</t>
  </si>
  <si>
    <t>Guilherme Fonseca Total</t>
  </si>
  <si>
    <t>Guilherme Oliveira Total</t>
  </si>
  <si>
    <t>Guilherme Silva Total</t>
  </si>
  <si>
    <t>Gustavo Costa Total</t>
  </si>
  <si>
    <t>Gustavo Santos Total</t>
  </si>
  <si>
    <t>Gustavo Souza Total</t>
  </si>
  <si>
    <t>Isabella Almeida Total</t>
  </si>
  <si>
    <t>Isabella Ferreira Total</t>
  </si>
  <si>
    <t>Isabella Silva Total</t>
  </si>
  <si>
    <t>Julia Martins Total</t>
  </si>
  <si>
    <t>Julia Santos Total</t>
  </si>
  <si>
    <t>Larissa Carvalho Total</t>
  </si>
  <si>
    <t>Larissa Gomes Total</t>
  </si>
  <si>
    <t>Larissa Souza Total</t>
  </si>
  <si>
    <t>Laura Lima Total</t>
  </si>
  <si>
    <t>Laura Rodrigues Total</t>
  </si>
  <si>
    <t>Leonardo Almeida Total</t>
  </si>
  <si>
    <t>Leonardo Ferreira Total</t>
  </si>
  <si>
    <t>Leonardo Ribeiro Total</t>
  </si>
  <si>
    <t>Leonardo Souza Total</t>
  </si>
  <si>
    <t>Lucas Cardoso Total</t>
  </si>
  <si>
    <t>Lucas Costa Total</t>
  </si>
  <si>
    <t>Lucas Ribeiro Total</t>
  </si>
  <si>
    <t>Luis Lima Total</t>
  </si>
  <si>
    <t>Luis Rocha Total</t>
  </si>
  <si>
    <t>Luiza Costa Total</t>
  </si>
  <si>
    <t>Luiza Souza Total</t>
  </si>
  <si>
    <t>Marcos Costa Total</t>
  </si>
  <si>
    <t>Marcos Lima Total</t>
  </si>
  <si>
    <t>Marcos Rocha Total</t>
  </si>
  <si>
    <t>Marcos Souza Total</t>
  </si>
  <si>
    <t>Mateus Gomes Total</t>
  </si>
  <si>
    <t>Mateus Santos Total</t>
  </si>
  <si>
    <t>Mateus Silva Total</t>
  </si>
  <si>
    <t>Pedro Lima Total</t>
  </si>
  <si>
    <t>Pedro Silva Total</t>
  </si>
  <si>
    <t>Rafael Cardoso Total</t>
  </si>
  <si>
    <t>Rafael Oliveira Total</t>
  </si>
  <si>
    <t>Rafael Rocha Total</t>
  </si>
  <si>
    <t>Rodrigo Cardoso Total</t>
  </si>
  <si>
    <t>Rodrigo Lima Total</t>
  </si>
  <si>
    <t>Rodrigo Melo Total</t>
  </si>
  <si>
    <t>Rodrigo Pereira Total</t>
  </si>
  <si>
    <t>Sofia Melo Total</t>
  </si>
  <si>
    <t>Sofia Mendes Total</t>
  </si>
  <si>
    <t>Lucro/Prejuízo</t>
  </si>
  <si>
    <t>Cliente_compra_venda</t>
  </si>
  <si>
    <t>Nome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</si>
</sst>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/yyyy"/>
    <numFmt numFmtId="166" formatCode="d-mmm"/>
  </numFmts>
  <fonts count="1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b/>
      <color rgb="FFFFFFFF"/>
      <name val="Arial"/>
    </font>
    <font/>
    <font>
      <b/>
      <color rgb="FFFFFFFF"/>
      <name val="Arial"/>
      <scheme val="minor"/>
    </font>
    <font>
      <b/>
      <sz val="20.0"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</font>
    <font>
      <color rgb="FFBF9000"/>
      <name val="Arial"/>
      <scheme val="minor"/>
    </font>
    <font>
      <color rgb="FF38761D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1" numFmtId="0" xfId="0" applyFont="1"/>
    <xf borderId="1" fillId="2" fontId="1" numFmtId="49" xfId="0" applyBorder="1" applyFont="1" applyNumberFormat="1"/>
    <xf borderId="1" fillId="2" fontId="1" numFmtId="164" xfId="0" applyBorder="1" applyFont="1" applyNumberFormat="1"/>
    <xf borderId="1" fillId="2" fontId="1" numFmtId="165" xfId="0" applyBorder="1" applyFont="1" applyNumberFormat="1"/>
    <xf borderId="1" fillId="2" fontId="2" numFmtId="49" xfId="0" applyAlignment="1" applyBorder="1" applyFont="1" applyNumberFormat="1">
      <alignment readingOrder="0"/>
    </xf>
    <xf borderId="0" fillId="0" fontId="2" numFmtId="49" xfId="0" applyFont="1" applyNumberFormat="1"/>
    <xf borderId="1" fillId="3" fontId="1" numFmtId="0" xfId="0" applyBorder="1" applyFill="1" applyFont="1"/>
    <xf borderId="0" fillId="3" fontId="1" numFmtId="0" xfId="0" applyFont="1"/>
    <xf borderId="1" fillId="3" fontId="1" numFmtId="49" xfId="0" applyBorder="1" applyFont="1" applyNumberFormat="1"/>
    <xf borderId="1" fillId="3" fontId="1" numFmtId="164" xfId="0" applyBorder="1" applyFont="1" applyNumberFormat="1"/>
    <xf borderId="1" fillId="3" fontId="1" numFmtId="165" xfId="0" applyBorder="1" applyFont="1" applyNumberFormat="1"/>
    <xf borderId="1" fillId="3" fontId="2" numFmtId="49" xfId="0" applyBorder="1" applyFont="1" applyNumberForma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49" xfId="0" applyFont="1" applyNumberFormat="1"/>
    <xf borderId="0" fillId="0" fontId="2" numFmtId="0" xfId="0" applyAlignment="1" applyFont="1">
      <alignment readingOrder="0"/>
    </xf>
    <xf borderId="1" fillId="4" fontId="1" numFmtId="0" xfId="0" applyBorder="1" applyFill="1" applyFont="1"/>
    <xf borderId="0" fillId="4" fontId="1" numFmtId="0" xfId="0" applyFont="1"/>
    <xf borderId="1" fillId="4" fontId="1" numFmtId="49" xfId="0" applyBorder="1" applyFont="1" applyNumberFormat="1"/>
    <xf borderId="1" fillId="4" fontId="1" numFmtId="164" xfId="0" applyBorder="1" applyFont="1" applyNumberFormat="1"/>
    <xf borderId="1" fillId="4" fontId="1" numFmtId="165" xfId="0" applyBorder="1" applyFont="1" applyNumberFormat="1"/>
    <xf borderId="1" fillId="4" fontId="2" numFmtId="49" xfId="0" applyBorder="1" applyFont="1" applyNumberFormat="1"/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3" fontId="2" numFmtId="0" xfId="0" applyBorder="1" applyFont="1"/>
    <xf borderId="1" fillId="4" fontId="2" numFmtId="0" xfId="0" applyBorder="1" applyFont="1"/>
    <xf borderId="0" fillId="3" fontId="2" numFmtId="0" xfId="0" applyFont="1"/>
    <xf borderId="0" fillId="3" fontId="2" numFmtId="49" xfId="0" applyFont="1" applyNumberFormat="1"/>
    <xf borderId="0" fillId="3" fontId="1" numFmtId="164" xfId="0" applyFont="1" applyNumberFormat="1"/>
    <xf borderId="0" fillId="3" fontId="1" numFmtId="165" xfId="0" applyFont="1" applyNumberFormat="1"/>
    <xf borderId="0" fillId="5" fontId="5" numFmtId="0" xfId="0" applyAlignment="1" applyFill="1" applyFont="1">
      <alignment readingOrder="0"/>
    </xf>
    <xf borderId="0" fillId="0" fontId="1" numFmtId="164" xfId="0" applyAlignment="1" applyFont="1" applyNumberFormat="1">
      <alignment horizontal="left"/>
    </xf>
    <xf borderId="0" fillId="5" fontId="5" numFmtId="0" xfId="0" applyFont="1"/>
    <xf borderId="0" fillId="0" fontId="1" numFmtId="164" xfId="0" applyAlignment="1" applyFont="1" applyNumberFormat="1">
      <alignment horizontal="left"/>
    </xf>
    <xf borderId="0" fillId="0" fontId="2" numFmtId="164" xfId="0" applyFont="1" applyNumberFormat="1"/>
    <xf borderId="2" fillId="6" fontId="4" numFmtId="0" xfId="0" applyAlignment="1" applyBorder="1" applyFill="1" applyFont="1">
      <alignment horizontal="center" readingOrder="0"/>
    </xf>
    <xf borderId="3" fillId="6" fontId="6" numFmtId="0" xfId="0" applyBorder="1" applyFont="1"/>
    <xf borderId="1" fillId="6" fontId="4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vertical="center"/>
    </xf>
    <xf borderId="1" fillId="7" fontId="2" numFmtId="0" xfId="0" applyAlignment="1" applyBorder="1" applyFill="1" applyFont="1">
      <alignment readingOrder="0"/>
    </xf>
    <xf borderId="2" fillId="7" fontId="2" numFmtId="0" xfId="0" applyBorder="1" applyFont="1"/>
    <xf borderId="3" fillId="7" fontId="6" numFmtId="0" xfId="0" applyBorder="1" applyFont="1"/>
    <xf borderId="1" fillId="7" fontId="2" numFmtId="164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 vertical="center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center" readingOrder="0" vertical="center"/>
    </xf>
    <xf borderId="0" fillId="5" fontId="7" numFmtId="0" xfId="0" applyFont="1"/>
    <xf borderId="0" fillId="0" fontId="8" numFmtId="0" xfId="0" applyAlignment="1" applyFont="1">
      <alignment horizontal="center" readingOrder="0"/>
    </xf>
    <xf borderId="1" fillId="0" fontId="3" numFmtId="49" xfId="0" applyBorder="1" applyFont="1" applyNumberFormat="1"/>
    <xf borderId="1" fillId="0" fontId="2" numFmtId="166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1" xfId="0" applyBorder="1" applyFont="1" applyNumberFormat="1"/>
    <xf borderId="1" fillId="0" fontId="2" numFmtId="4" xfId="0" applyBorder="1" applyFont="1" applyNumberFormat="1"/>
    <xf borderId="1" fillId="0" fontId="2" numFmtId="4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2" numFmtId="0" xfId="0" applyBorder="1" applyFont="1"/>
    <xf borderId="1" fillId="0" fontId="2" numFmtId="164" xfId="0" applyBorder="1" applyFont="1" applyNumberFormat="1"/>
    <xf borderId="1" fillId="0" fontId="3" numFmtId="0" xfId="0" applyAlignment="1" applyBorder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1" fillId="8" fontId="11" numFmtId="0" xfId="0" applyBorder="1" applyFill="1" applyFont="1"/>
    <xf borderId="0" fillId="0" fontId="1" numFmtId="0" xfId="0" applyFont="1"/>
    <xf borderId="0" fillId="0" fontId="1" numFmtId="164" xfId="0" applyFont="1" applyNumberFormat="1"/>
    <xf borderId="1" fillId="0" fontId="1" numFmtId="0" xfId="0" applyBorder="1" applyFont="1"/>
    <xf borderId="0" fillId="9" fontId="1" numFmtId="164" xfId="0" applyFill="1" applyFont="1" applyNumberForma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10" fontId="1" numFmtId="164" xfId="0" applyFill="1" applyFont="1" applyNumberFormat="1"/>
    <xf borderId="4" fillId="3" fontId="2" numFmtId="0" xfId="0" applyAlignment="1" applyBorder="1" applyFont="1">
      <alignment horizontal="center" readingOrder="0" vertical="center"/>
    </xf>
    <xf borderId="1" fillId="7" fontId="2" numFmtId="0" xfId="0" applyBorder="1" applyFont="1"/>
    <xf borderId="0" fillId="7" fontId="1" numFmtId="0" xfId="0" applyAlignment="1" applyFont="1">
      <alignment vertical="center"/>
    </xf>
    <xf borderId="5" fillId="7" fontId="6" numFmtId="0" xfId="0" applyBorder="1" applyFont="1"/>
    <xf borderId="0" fillId="3" fontId="1" numFmtId="0" xfId="0" applyAlignment="1" applyFont="1">
      <alignment vertical="center"/>
    </xf>
    <xf borderId="5" fillId="3" fontId="6" numFmtId="0" xfId="0" applyBorder="1" applyFont="1"/>
    <xf borderId="6" fillId="7" fontId="6" numFmtId="0" xfId="0" applyBorder="1" applyFont="1"/>
  </cellXfs>
  <cellStyles count="1">
    <cellStyle xfId="0" name="Normal" builtinId="0"/>
  </cellStyles>
  <dxfs count="11">
    <dxf>
      <font>
        <color theme="1"/>
      </font>
      <fill>
        <patternFill patternType="solid">
          <fgColor rgb="FF38761D"/>
          <bgColor rgb="FF38761D"/>
        </patternFill>
      </fill>
      <border/>
    </dxf>
    <dxf>
      <font>
        <color rgb="FF000000"/>
      </font>
      <fill>
        <patternFill patternType="solid">
          <fgColor theme="5"/>
          <bgColor theme="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  <tableStyles count="5">
    <tableStyle count="3" pivot="0" name="Estatística-style">
      <tableStyleElement dxfId="3" type="headerRow"/>
      <tableStyleElement dxfId="4" type="firstRowStripe"/>
      <tableStyleElement dxfId="5" type="secondRowStripe"/>
    </tableStyle>
    <tableStyle count="2" pivot="0" name="Estatística-style 2">
      <tableStyleElement dxfId="4" type="firstRowStripe"/>
      <tableStyleElement dxfId="5" type="secondRowStripe"/>
    </tableStyle>
    <tableStyle count="3" pivot="0" name="Tendência_temporal-style">
      <tableStyleElement dxfId="6" type="headerRow"/>
      <tableStyleElement dxfId="7" type="firstRowStripe"/>
      <tableStyleElement dxfId="8" type="secondRowStripe"/>
    </tableStyle>
    <tableStyle count="3" pivot="0" name="Tendência_temporal-style 2">
      <tableStyleElement dxfId="6" type="headerRow"/>
      <tableStyleElement dxfId="7" type="firstRowStripe"/>
      <tableStyleElement dxfId="8" type="secondRowStripe"/>
    </tableStyle>
    <tableStyle count="3" pivot="0" name="Cliente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Mercado_acoes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mercado_acoes!$L$2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mercado_acoes!$K$3:$K$15</c:f>
            </c:strRef>
          </c:cat>
          <c:val>
            <c:numRef>
              <c:f>mercado_acoes!$L$3:$L$15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 Compra_venda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Compra_venda!$C$1</c:f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Compra_venda!$B$2:$B$21</c:f>
            </c:numRef>
          </c:xVal>
          <c:yVal>
            <c:numRef>
              <c:f>Compra_venda!$C$2:$C$21</c:f>
              <c:numCache/>
            </c:numRef>
          </c:yVal>
        </c:ser>
        <c:ser>
          <c:idx val="1"/>
          <c:order val="1"/>
          <c:tx>
            <c:strRef>
              <c:f>Compra_venda!$B$1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8761D"/>
              </a:solidFill>
              <a:ln cmpd="sng">
                <a:solidFill>
                  <a:srgbClr val="38761D"/>
                </a:solidFill>
              </a:ln>
            </c:spPr>
          </c:marker>
          <c:xVal>
            <c:numRef>
              <c:f>Compra_venda!$B$2:$B$21</c:f>
            </c:numRef>
          </c:xVal>
          <c:yVal>
            <c:numRef>
              <c:f>Compra_venda!$B$2:$B$21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21072"/>
        <c:axId val="1493705792"/>
      </c:scatterChart>
      <c:valAx>
        <c:axId val="3041210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800">
                    <a:solidFill>
                      <a:srgbClr val="000000"/>
                    </a:solidFill>
                    <a:latin typeface="Arial"/>
                  </a:rPr>
                  <a:t>Quantidade de operações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493705792"/>
      </c:valAx>
      <c:valAx>
        <c:axId val="1493705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Valor em Real (R$)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304121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Estatística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'Estatística'!$D$3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sz="120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'Estatística'!$C$4:$C$10</c:f>
            </c:strRef>
          </c:cat>
          <c:val>
            <c:numRef>
              <c:f>'Estatística'!$D$4:$D$10</c:f>
              <c:numCache/>
            </c:numRef>
          </c:val>
        </c:ser>
        <c:axId val="2142671112"/>
        <c:axId val="370120817"/>
      </c:areaChart>
      <c:catAx>
        <c:axId val="214267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120817"/>
      </c:catAx>
      <c:valAx>
        <c:axId val="370120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671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Cliente_lucro-prejuízo</a:t>
            </a:r>
          </a:p>
        </c:rich>
      </c:tx>
      <c:overlay val="0"/>
    </c:title>
    <c:plotArea>
      <c:layout/>
      <c:barChart>
        <c:barDir val="bar"/>
        <c:grouping val="stacked"/>
        <c:ser>
          <c:idx val="9"/>
          <c:order val="9"/>
          <c:tx>
            <c:strRef>
              <c:f>cliente_lucro_prejuizo!$U$17</c:f>
            </c:strRef>
          </c:tx>
          <c:cat>
            <c:strRef>
              <c:f>cliente_lucro_prejuizo!$T$18:$T$23</c:f>
            </c:strRef>
          </c:cat>
          <c:val>
            <c:numRef>
              <c:f>cliente_lucro_prejuizo!$U$18:$U$23</c:f>
              <c:numCache/>
            </c:numRef>
          </c:val>
        </c:ser>
        <c:ser>
          <c:idx val="10"/>
          <c:order val="10"/>
          <c:tx>
            <c:strRef>
              <c:f>cliente_lucro_prejuizo!$U$17</c:f>
            </c:strRef>
          </c:tx>
          <c:cat>
            <c:strRef>
              <c:f>cliente_lucro_prejuizo!$T$18:$T$23</c:f>
            </c:strRef>
          </c:cat>
          <c:val>
            <c:numRef>
              <c:f>cliente_lucro_prejuizo!$U$18:$U$23</c:f>
              <c:numCache/>
            </c:numRef>
          </c:val>
        </c:ser>
        <c:ser>
          <c:idx val="11"/>
          <c:order val="11"/>
          <c:tx>
            <c:strRef>
              <c:f>cliente_lucro_prejuizo!$V$17</c:f>
            </c:strRef>
          </c:tx>
          <c:cat>
            <c:strRef>
              <c:f>cliente_lucro_prejuizo!$T$18:$T$23</c:f>
            </c:strRef>
          </c:cat>
          <c:val>
            <c:numRef>
              <c:f>cliente_lucro_prejuizo!$V$18:$V$23</c:f>
              <c:numCache/>
            </c:numRef>
          </c:val>
        </c:ser>
        <c:ser>
          <c:idx val="12"/>
          <c:order val="12"/>
          <c:tx>
            <c:strRef>
              <c:f>cliente_lucro_prejuizo!$V$17</c:f>
            </c:strRef>
          </c:tx>
          <c:cat>
            <c:strRef>
              <c:f>cliente_lucro_prejuizo!$T$18:$T$23</c:f>
            </c:strRef>
          </c:cat>
          <c:val>
            <c:numRef>
              <c:f>cliente_lucro_prejuizo!$V$18:$V$23</c:f>
              <c:numCache/>
            </c:numRef>
          </c:val>
        </c:ser>
        <c:ser>
          <c:idx val="13"/>
          <c:order val="13"/>
          <c:tx>
            <c:strRef>
              <c:f>cliente_lucro_prejuizo!$X$18</c:f>
            </c:strRef>
          </c:tx>
          <c:cat>
            <c:strRef>
              <c:f>cliente_lucro_prejuizo!$T$18:$T$23</c:f>
            </c:strRef>
          </c:cat>
          <c:val>
            <c:numRef>
              <c:f>cliente_lucro_prejuizo!$X$19</c:f>
              <c:numCache/>
            </c:numRef>
          </c:val>
        </c:ser>
        <c:ser>
          <c:idx val="14"/>
          <c:order val="14"/>
          <c:tx>
            <c:strRef>
              <c:f>cliente_lucro_prejuizo!$X$18</c:f>
            </c:strRef>
          </c:tx>
          <c:cat>
            <c:strRef>
              <c:f>cliente_lucro_prejuizo!$T$18:$T$23</c:f>
            </c:strRef>
          </c:cat>
          <c:val>
            <c:numRef>
              <c:f>cliente_lucro_prejuizo!$X$19</c:f>
              <c:numCache/>
            </c:numRef>
          </c:val>
        </c:ser>
        <c:overlap val="100"/>
        <c:axId val="1088542931"/>
        <c:axId val="111679037"/>
      </c:barChart>
      <c:catAx>
        <c:axId val="10885429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Ativos (Stiker)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679037"/>
      </c:catAx>
      <c:valAx>
        <c:axId val="1116790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Valores (R$)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4293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762000</xdr:colOff>
      <xdr:row>26</xdr:row>
      <xdr:rowOff>104775</xdr:rowOff>
    </xdr:from>
    <xdr:ext cx="85725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904875</xdr:colOff>
      <xdr:row>0</xdr:row>
      <xdr:rowOff>0</xdr:rowOff>
    </xdr:from>
    <xdr:ext cx="5895975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44</xdr:row>
      <xdr:rowOff>161925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001" sheet="mercado_acoes"/>
  </cacheSource>
  <cacheFields>
    <cacheField name="Código Cliente" numFmtId="0">
      <sharedItems containsSemiMixedTypes="0" containsString="0" containsNumber="1" containsInteger="1">
        <n v="30.0"/>
        <n v="78.0"/>
        <n v="50.0"/>
        <n v="80.0"/>
        <n v="68.0"/>
        <n v="48.0"/>
        <n v="100.0"/>
        <n v="81.0"/>
        <n v="15.0"/>
        <n v="86.0"/>
        <n v="60.0"/>
        <n v="97.0"/>
        <n v="99.0"/>
        <n v="28.0"/>
        <n v="3.0"/>
        <n v="2.0"/>
        <n v="54.0"/>
        <n v="39.0"/>
        <n v="36.0"/>
        <n v="43.0"/>
        <n v="83.0"/>
        <n v="79.0"/>
        <n v="59.0"/>
        <n v="61.0"/>
        <n v="8.0"/>
        <n v="95.0"/>
        <n v="91.0"/>
        <n v="7.0"/>
        <n v="38.0"/>
        <n v="4.0"/>
        <n v="47.0"/>
        <n v="29.0"/>
        <n v="74.0"/>
        <n v="35.0"/>
        <n v="56.0"/>
        <n v="93.0"/>
        <n v="22.0"/>
        <n v="72.0"/>
        <n v="89.0"/>
        <n v="13.0"/>
        <n v="24.0"/>
        <n v="84.0"/>
        <n v="46.0"/>
        <n v="69.0"/>
        <n v="32.0"/>
        <n v="10.0"/>
        <n v="71.0"/>
        <n v="70.0"/>
        <n v="25.0"/>
        <n v="62.0"/>
        <n v="66.0"/>
        <n v="64.0"/>
        <n v="20.0"/>
        <n v="96.0"/>
        <n v="58.0"/>
        <n v="5.0"/>
        <n v="77.0"/>
        <n v="42.0"/>
        <n v="14.0"/>
        <n v="27.0"/>
        <n v="16.0"/>
        <n v="34.0"/>
        <n v="49.0"/>
        <n v="52.0"/>
        <n v="6.0"/>
        <n v="40.0"/>
        <n v="21.0"/>
        <n v="12.0"/>
        <n v="57.0"/>
        <n v="33.0"/>
        <n v="19.0"/>
        <n v="1.0"/>
        <n v="98.0"/>
        <n v="92.0"/>
        <n v="85.0"/>
        <n v="17.0"/>
        <n v="55.0"/>
        <n v="67.0"/>
        <n v="88.0"/>
        <n v="9.0"/>
        <n v="65.0"/>
        <n v="26.0"/>
        <n v="76.0"/>
        <n v="44.0"/>
        <n v="41.0"/>
        <n v="90.0"/>
        <n v="45.0"/>
        <n v="73.0"/>
        <n v="63.0"/>
        <n v="11.0"/>
        <n v="31.0"/>
        <n v="82.0"/>
        <n v="51.0"/>
        <n v="23.0"/>
        <n v="94.0"/>
        <n v="75.0"/>
        <n v="18.0"/>
        <n v="53.0"/>
        <n v="87.0"/>
        <n v="37.0"/>
      </sharedItems>
    </cacheField>
    <cacheField name="Nome cliente" numFmtId="0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0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49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  <cacheField name="Normalização dos Preços" numFmtId="164">
      <sharedItems containsSemiMixedTypes="0" containsString="0" containsNumber="1">
        <n v="9.296980371402253"/>
        <n v="52.29698037140225"/>
        <n v="20.686980371402253"/>
        <n v="38.736980371402254"/>
        <n v="16.956980371402253"/>
        <n v="10.946980371402251"/>
        <n v="23.526980371402253"/>
        <n v="45.736980371402254"/>
        <n v="64.38698037140225"/>
        <n v="55.67698037140225"/>
        <n v="25.98698037140225"/>
        <n v="77.93698037140224"/>
        <n v="29.186980371402253"/>
        <n v="9.906980371402252"/>
        <n v="22.026980371402253"/>
        <n v="19.406980371402252"/>
        <n v="68.73698037140224"/>
        <n v="15.256980371402253"/>
        <n v="34.95698037140225"/>
        <n v="11.496980371402252"/>
        <n v="37.92698037140225"/>
        <n v="48.40698037140225"/>
        <n v="31.276980371402253"/>
        <n v="39.17698037140225"/>
        <n v="9.116980371402251"/>
        <n v="69.25698037140225"/>
        <n v="73.47698037140225"/>
        <n v="46.35698037140225"/>
        <n v="10.256980371402252"/>
        <n v="14.126980371402253"/>
        <n v="53.696980371402255"/>
        <n v="35.16698037140225"/>
        <n v="9.286980371402251"/>
        <n v="36.626980371402254"/>
        <n v="71.41698037140225"/>
        <n v="77.25698037140225"/>
        <n v="20.546980371402253"/>
        <n v="2.1669803714022513"/>
        <n v="9.326980371402252"/>
        <n v="11.086980371402252"/>
        <n v="56.21698037140225"/>
        <n v="7.436980371402251"/>
        <n v="45.43698037140225"/>
        <n v="17.96698037140225"/>
        <n v="42.29698037140225"/>
        <n v="9.626980371402253"/>
        <n v="0.5469803714022514"/>
        <n v="40.78698037140225"/>
        <n v="9.166980371402252"/>
        <n v="40.95698037140225"/>
        <n v="62.29698037140225"/>
        <n v="27.666980371402254"/>
        <n v="27.37698037140225"/>
        <n v="25.71698037140225"/>
        <n v="54.266980371402255"/>
        <n v="75.13698037140225"/>
        <n v="11.516980371402251"/>
        <n v="26.386980371402252"/>
        <n v="32.04698037140225"/>
        <n v="36.70698037140225"/>
        <n v="1.1569803714022515"/>
        <n v="2.1369803714022515"/>
        <n v="30.85698037140225"/>
        <n v="12.436980371402251"/>
        <n v="40.63698037140225"/>
        <n v="44.95698037140225"/>
        <n v="3.6969803714022516"/>
        <n v="9.526980371402251"/>
        <n v="9.436980371402251"/>
        <n v="34.376980371402254"/>
        <n v="15.796980371402253"/>
        <n v="6.906980371402252"/>
        <n v="59.336980371402255"/>
        <n v="14.566980371402252"/>
        <n v="11.406980371402252"/>
        <n v="4.376980371402251"/>
        <n v="10.726980371402252"/>
        <n v="70.09698037140224"/>
        <n v="50.46698037140225"/>
        <n v="19.17698037140225"/>
        <n v="9.726980371402252"/>
        <n v="48.306980371402254"/>
        <n v="30.136980371402252"/>
        <n v="1.6169803714022515"/>
        <n v="38.29698037140225"/>
        <n v="30.19698037140225"/>
        <n v="10.766980371402251"/>
        <n v="31.25698037140225"/>
        <n v="10.876980371402253"/>
        <n v="7.896980371402252"/>
        <n v="17.55698037140225"/>
        <n v="9.706980371402253"/>
        <n v="36.72698037140225"/>
        <n v="29.19698037140225"/>
        <n v="2.256980371402251"/>
        <n v="52.43698037140225"/>
        <n v="2.8369803714022512"/>
        <n v="10.516980371402251"/>
        <n v="9.596980371402251"/>
        <n v="43.78698037140225"/>
        <n v="10.446980371402251"/>
        <n v="13.576980371402252"/>
        <n v="46.89698037140225"/>
        <n v="20.58698037140225"/>
        <n v="11.586980371402252"/>
        <n v="23.866980371402253"/>
        <n v="1.9469803714022516"/>
        <n v="46.16698037140225"/>
        <n v="6.5569803714022505"/>
        <n v="18.35698037140225"/>
        <n v="11.206980371402253"/>
        <n v="10.736980371402252"/>
        <n v="54.74698037140225"/>
        <n v="11.676980371402252"/>
        <n v="73.99698037140224"/>
        <n v="40.29698037140225"/>
        <n v="20.416980371402254"/>
        <n v="31.056980371402254"/>
        <n v="34.34698037140225"/>
        <n v="29.406980371402252"/>
        <n v="14.016980371402251"/>
        <n v="12.266980371402251"/>
        <n v="64.01698037140224"/>
        <n v="2.3769803714022513"/>
        <n v="11.566980371402252"/>
        <n v="41.84698037140225"/>
        <n v="15.55698037140225"/>
        <n v="12.476980371402252"/>
        <n v="36.556980371402254"/>
        <n v="1.3069803714022514"/>
        <n v="1.4169803714022513"/>
        <n v="11.486980371402252"/>
        <n v="13.976980371402252"/>
        <n v="27.166980371402254"/>
        <n v="37.196980371402255"/>
        <n v="72.98698037140224"/>
        <n v="60.09698037140225"/>
        <n v="13.136980371402252"/>
        <n v="26.73698037140225"/>
        <n v="18.566980371402252"/>
        <n v="32.65698037140225"/>
        <n v="68.29698037140224"/>
        <n v="11.926980371402252"/>
        <n v="1.3169803714022512"/>
        <n v="27.046980371402253"/>
        <n v="34.56698037140225"/>
        <n v="2.276980371402251"/>
        <n v="17.656980371402252"/>
        <n v="9.776980371402251"/>
        <n v="30.58698037140225"/>
        <n v="5.776980371402251"/>
        <n v="12.316980371402252"/>
        <n v="19.64698037140225"/>
        <n v="11.746980371402252"/>
        <n v="9.566980371402252"/>
        <n v="78.63698037140225"/>
        <n v="21.89698037140225"/>
        <n v="29.976980371402252"/>
        <n v="34.016980371402255"/>
        <n v="30.296980371402253"/>
        <n v="2.7869803714022514"/>
        <n v="20.23698037140225"/>
        <n v="76.00698037140225"/>
        <n v="9.736980371402252"/>
        <n v="13.896980371402252"/>
        <n v="20.82698037140225"/>
        <n v="14.106980371402251"/>
        <n v="59.67698037140225"/>
        <n v="29.316980371402252"/>
        <n v="30.67698037140225"/>
        <n v="59.43698037140225"/>
        <n v="3.2369803714022516"/>
        <n v="19.496980371402252"/>
        <n v="17.136980371402252"/>
        <n v="37.02698037140225"/>
        <n v="27.12698037140225"/>
        <n v="3.7469803714022514"/>
        <n v="0.9069803714022513"/>
        <n v="3.1069803714022517"/>
        <n v="55.806980371402254"/>
        <n v="39.516980371402255"/>
        <n v="60.736980371402254"/>
        <n v="16.64698037140225"/>
        <n v="12.556980371402252"/>
        <n v="44.31698037140225"/>
        <n v="4.3469803714022515"/>
        <n v="19.71698037140225"/>
        <n v="9.246980371402252"/>
        <n v="15.196980371402251"/>
        <n v="10.886980371402252"/>
        <n v="18.69698037140225"/>
        <n v="55.56698037140225"/>
        <n v="2.6669803714022513"/>
        <n v="35.27698037140225"/>
        <n v="15.536980371402251"/>
        <n v="56.90698037140225"/>
        <n v="2.4869803714022516"/>
        <n v="3.016980371402251"/>
        <n v="17.796980371402253"/>
        <n v="25.046980371402253"/>
        <n v="44.25698037140225"/>
        <n v="40.49698037140225"/>
        <n v="17.816980371402252"/>
        <n v="10.686980371402251"/>
        <n v="9.496980371402252"/>
        <n v="10.656980371402252"/>
        <n v="56.46698037140225"/>
        <n v="38.876980371402254"/>
        <n v="19.316980371402252"/>
        <n v="0.9569803714022513"/>
        <n v="15.046980371402253"/>
        <n v="12.016980371402251"/>
        <n v="8.676980371402252"/>
        <n v="24.62698037140225"/>
        <n v="24.26698037140225"/>
        <n v="24.526980371402253"/>
        <n v="12.716980371402252"/>
        <n v="13.776980371402251"/>
        <n v="12.736980371402252"/>
        <n v="23.69698037140225"/>
        <n v="9.306980371402252"/>
        <n v="14.516980371402251"/>
        <n v="13.476980371402252"/>
        <n v="18.156980371402252"/>
        <n v="32.986980371402254"/>
        <n v="32.07698037140225"/>
        <n v="11.506980371402252"/>
        <n v="39.70698037140225"/>
        <n v="39.696980371402255"/>
        <n v="13.866980371402251"/>
        <n v="52.266980371402255"/>
        <n v="3.4369803714022518"/>
        <n v="37.086980371402255"/>
        <n v="2.8569803714022513"/>
        <n v="26.85698037140225"/>
        <n v="45.47698037140225"/>
        <n v="75.15698037140224"/>
        <n v="9.236980371402252"/>
        <n v="12.776980371402251"/>
        <n v="13.746980371402252"/>
        <n v="35.00698037140225"/>
        <n v="18.28698037140225"/>
        <n v="0.6969803714022513"/>
        <n v="29.136980371402252"/>
        <n v="45.41698037140225"/>
        <n v="16.666980371402254"/>
        <n v="0.5369803714022514"/>
        <n v="18.226980371402252"/>
        <n v="33.53698037140225"/>
        <n v="66.04698037140224"/>
        <n v="35.02698037140225"/>
        <n v="38.65698037140225"/>
        <n v="11.996980371402252"/>
        <n v="55.43698037140225"/>
        <n v="16.33698037140225"/>
        <n v="8.196980371402251"/>
        <n v="15.726980371402252"/>
        <n v="29.046980371402253"/>
        <n v="10.246980371402252"/>
        <n v="11.436980371402251"/>
        <n v="11.666980371402252"/>
        <n v="4.216980371402251"/>
        <n v="28.08698037140225"/>
        <n v="1.3969803714022513"/>
        <n v="74.70698037140224"/>
        <n v="24.48698037140225"/>
        <n v="11.296980371402253"/>
        <n v="14.246980371402252"/>
        <n v="68.00698037140225"/>
        <n v="29.14698037140225"/>
        <n v="2.3669803714022515"/>
        <n v="1.2469803714022514"/>
        <n v="2.4469803714022516"/>
        <n v="11.366980371402251"/>
        <n v="33.47698037140225"/>
        <n v="35.46698037140225"/>
        <n v="25.85698037140225"/>
        <n v="13.316980371402252"/>
        <n v="9.866980371402251"/>
        <n v="1.0369803714022514"/>
        <n v="10.706980371402253"/>
        <n v="32.15698037140225"/>
        <n v="47.45698037140225"/>
        <n v="3.636980371402251"/>
        <n v="23.73698037140225"/>
        <n v="25.316980371402252"/>
        <n v="20.12698037140225"/>
        <n v="30.39698037140225"/>
        <n v="15.476980371402252"/>
        <n v="25.21698037140225"/>
        <n v="26.416980371402254"/>
        <n v="36.16698037140225"/>
        <n v="11.356980371402251"/>
        <n v="13.066980371402252"/>
        <n v="54.72698037140225"/>
        <n v="33.126980371402254"/>
        <n v="2.4769803714022514"/>
        <n v="1.1169803714022515"/>
        <n v="14.846980371402251"/>
        <n v="68.18698037140224"/>
        <n v="17.066980371402252"/>
        <n v="13.266980371402251"/>
        <n v="1.3869803714022515"/>
        <n v="56.196980371402255"/>
        <n v="53.75698037140225"/>
        <n v="1.2769803714022512"/>
        <n v="48.89698037140225"/>
        <n v="46.92698037140225"/>
        <n v="57.64698037140225"/>
        <n v="9.716980371402252"/>
        <n v="12.246980371402252"/>
        <n v="9.676980371402252"/>
        <n v="22.03698037140225"/>
        <n v="14.996980371402252"/>
        <n v="9.176980371402252"/>
        <n v="31.666980371402254"/>
        <n v="9.506980371402252"/>
        <n v="29.296980371402253"/>
        <n v="28.98698037140225"/>
        <n v="9.836980371402252"/>
        <n v="24.026980371402253"/>
        <n v="16.026980371402253"/>
        <n v="9.486980371402252"/>
        <n v="14.046980371402253"/>
        <n v="12.446980371402251"/>
        <n v="29.64698037140225"/>
        <n v="33.946980371402255"/>
        <n v="1.2569803714022512"/>
        <n v="4.136980371402251"/>
        <n v="24.67698037140225"/>
        <n v="27.17698037140225"/>
        <n v="70.26698037140224"/>
        <n v="17.346980371402253"/>
        <n v="17.35698037140225"/>
        <n v="79.27698037140225"/>
        <n v="15.87698037140225"/>
        <n v="40.986980371402254"/>
        <n v="37.75698037140225"/>
        <n v="9.186980371402251"/>
        <n v="37.13698037140225"/>
        <n v="18.186980371402253"/>
        <n v="17.39698037140225"/>
        <n v="9.456980371402253"/>
        <n v="39.016980371402255"/>
        <n v="27.476980371402252"/>
        <n v="29.776980371402253"/>
        <n v="13.516980371402251"/>
        <n v="68.62698037140224"/>
        <n v="46.63698037140225"/>
        <n v="13.346980371402251"/>
        <n v="56.766980371402255"/>
        <n v="29.83698037140225"/>
        <n v="16.246980371402252"/>
        <n v="36.486980371402254"/>
        <n v="19.57698037140225"/>
        <n v="7.736980371402252"/>
        <n v="28.80698037140225"/>
        <n v="11.346980371402251"/>
        <n v="10.756980371402252"/>
        <n v="48.10698037140225"/>
        <n v="17.526980371402253"/>
        <n v="11.176980371402252"/>
        <n v="21.046980371402253"/>
        <n v="14.896980371402252"/>
        <n v="39.38698037140225"/>
        <n v="35.60698037140225"/>
        <n v="38.61698037140225"/>
        <n v="3.8269803714022514"/>
        <n v="25.73698037140225"/>
        <n v="65.48698037140224"/>
        <n v="12.076980371402252"/>
        <n v="21.71698037140225"/>
        <n v="33.38698037140225"/>
        <n v="18.03698037140225"/>
        <n v="12.336980371402252"/>
        <n v="61.15698037140225"/>
        <n v="10.896980371402252"/>
        <n v="31.986980371402254"/>
        <n v="0.5969803714022515"/>
        <n v="11.056980371402252"/>
        <n v="14.406980371402252"/>
        <n v="32.446980371402255"/>
        <n v="4.356980371402251"/>
        <n v="20.006980371402253"/>
        <n v="18.256980371402253"/>
        <n v="33.21698037140225"/>
        <n v="38.00698037140225"/>
        <n v="11.776980371402251"/>
        <n v="14.716980371402252"/>
        <n v="2.566980371402251"/>
        <n v="11.106980371402251"/>
        <n v="27.956980371402253"/>
        <n v="19.60698037140225"/>
        <n v="1.0469803714022512"/>
        <n v="24.42698037140225"/>
        <n v="1.3269803714022514"/>
        <n v="39.57698037140225"/>
        <n v="11.696980371402251"/>
        <n v="36.806980371402254"/>
        <n v="13.506980371402252"/>
        <n v="13.646980371402252"/>
        <n v="10.926980371402252"/>
        <n v="35.40698037140225"/>
        <n v="13.906980371402252"/>
        <n v="50.196980371402255"/>
        <n v="21.096980371402253"/>
        <n v="59.876980371402254"/>
        <n v="2.9769803714022514"/>
        <n v="79.03698037140225"/>
        <n v="49.89698037140225"/>
        <n v="27.94698037140225"/>
        <n v="28.03698037140225"/>
        <n v="40.03698037140225"/>
        <n v="2.6369803714022515"/>
        <n v="38.92698037140225"/>
        <n v="61.34698037140225"/>
        <n v="43.946980371402255"/>
        <n v="10.916980371402252"/>
        <n v="29.116980371402253"/>
        <n v="12.596980371402251"/>
        <n v="32.806980371402254"/>
        <n v="18.92698037140225"/>
        <n v="38.74698037140225"/>
        <n v="38.236980371402254"/>
        <n v="74.12698037140224"/>
        <n v="25.53698037140225"/>
        <n v="32.16698037140225"/>
        <n v="39.45698037140225"/>
        <n v="2.7469803714022514"/>
        <n v="31.236980371402254"/>
        <n v="31.816980371402252"/>
        <n v="22.096980371402253"/>
        <n v="27.406980371402252"/>
        <n v="9.756980371402252"/>
        <n v="19.28698037140225"/>
        <n v="14.116980371402251"/>
        <n v="62.806980371402254"/>
        <n v="29.08698037140225"/>
        <n v="47.92698037140225"/>
        <n v="30.206980371402253"/>
        <n v="39.47698037140225"/>
        <n v="28.546980371402253"/>
        <n v="25.01698037140225"/>
        <n v="11.306980371402252"/>
        <n v="60.77698037140225"/>
        <n v="11.966980371402252"/>
        <n v="20.436980371402253"/>
        <n v="34.336980371402255"/>
        <n v="35.97698037140225"/>
        <n v="43.32698037140225"/>
        <n v="52.446980371402255"/>
        <n v="22.21698037140225"/>
        <n v="59.35698037140225"/>
        <n v="0.7569803714022514"/>
        <n v="4.316980371402252"/>
        <n v="47.32698037140225"/>
        <n v="71.28698037140225"/>
        <n v="28.05698037140225"/>
        <n v="46.75698037140225"/>
        <n v="28.296980371402253"/>
        <n v="13.716980371402252"/>
        <n v="26.46698037140225"/>
        <n v="68.46698037140224"/>
        <n v="11.606980371402251"/>
        <n v="10.536980371402251"/>
        <n v="12.326980371402252"/>
        <n v="16.53698037140225"/>
        <n v="13.626980371402253"/>
        <n v="10.556980371402252"/>
        <n v="55.68698037140225"/>
        <n v="26.28698037140225"/>
        <n v="32.93698037140225"/>
        <n v="60.06698037140225"/>
        <n v="25.416980371402254"/>
        <n v="4.3069803714022505"/>
        <n v="0.48698037140225137"/>
        <n v="22.656980371402252"/>
        <n v="9.406980371402252"/>
        <n v="7.9269803714022515"/>
        <n v="12.466980371402252"/>
        <n v="3.6169803714022515"/>
        <n v="13.486980371402252"/>
        <n v="21.636980371402252"/>
        <n v="0.7869803714022514"/>
        <n v="32.88698037140225"/>
        <n v="9.646980371402252"/>
        <n v="12.786980371402251"/>
        <n v="36.376980371402254"/>
        <n v="28.10698037140225"/>
        <n v="9.466980371402252"/>
        <n v="32.376980371402254"/>
        <n v="12.166980371402252"/>
        <n v="50.89698037140225"/>
        <n v="26.316980371402252"/>
        <n v="47.15698037140225"/>
        <n v="9.896980371402252"/>
        <n v="9.336980371402252"/>
        <n v="18.73698037140225"/>
        <n v="16.01698037140225"/>
        <n v="12.796980371402253"/>
        <n v="77.90698037140224"/>
        <n v="13.416980371402252"/>
        <n v="15.846980371402253"/>
        <n v="23.066980371402252"/>
        <n v="55.86698037140225"/>
        <n v="10.796980371402253"/>
        <n v="13.076980371402252"/>
        <n v="60.53698037140225"/>
        <n v="24.096980371402253"/>
        <n v="67.99698037140224"/>
        <n v="2.9069803714022515"/>
        <n v="13.336980371402252"/>
        <n v="34.00698037140225"/>
        <n v="37.53698037140225"/>
        <n v="59.16698037140225"/>
        <n v="25.666980371402254"/>
        <n v="58.57698037140225"/>
        <n v="40.266980371402255"/>
        <n v="29.006980371402253"/>
        <n v="53.67698037140225"/>
        <n v="48.66698037140225"/>
        <n v="30.506980371402253"/>
        <n v="12.526980371402251"/>
        <n v="10.606980371402251"/>
        <n v="23.316980371402252"/>
        <n v="41.336980371402255"/>
        <n v="36.22698037140225"/>
        <n v="15.546980371402253"/>
        <n v="6.606980371402251"/>
        <n v="16.51698037140225"/>
        <n v="13.526980371402251"/>
        <n v="14.396980371402252"/>
        <n v="59.59698037140225"/>
        <n v="9.066980371402252"/>
        <n v="14.146980371402252"/>
        <n v="15.446980371402251"/>
        <n v="46.56698037140225"/>
        <n v="34.06698037140225"/>
        <n v="1.5169803714022514"/>
        <n v="16.23698037140225"/>
        <n v="10.476980371402252"/>
        <n v="25.80698037140225"/>
        <n v="23.906980371402252"/>
        <n v="27.58698037140225"/>
        <n v="37.38698037140225"/>
        <n v="73.73698037140224"/>
        <n v="2.2069803714022513"/>
        <n v="11.316980371402252"/>
        <n v="55.46698037140225"/>
        <n v="17.316980371402252"/>
        <n v="30.496980371402252"/>
        <n v="68.57698037140224"/>
        <n v="11.976980371402252"/>
        <n v="46.03698037140225"/>
        <n v="65.34698037140224"/>
        <n v="15.606980371402251"/>
        <n v="66.64698037140225"/>
        <n v="13.386980371402252"/>
        <n v="28.886980371402252"/>
        <n v="1.3369803714022512"/>
        <n v="24.89698037140225"/>
        <n v="35.71698037140225"/>
        <n v="51.70698037140225"/>
        <n v="39.65698037140225"/>
        <n v="2.3469803714022515"/>
        <n v="0.47698037140225136"/>
        <n v="22.616980371402253"/>
        <n v="10.976980371402252"/>
        <n v="2.6769803714022515"/>
        <n v="52.556980371402254"/>
        <n v="13.236980371402252"/>
        <n v="2.3869803714022515"/>
        <n v="46.90698037140225"/>
        <n v="30.116980371402253"/>
        <n v="40.60698037140225"/>
        <n v="37.71698037140225"/>
        <n v="3.266980371402251"/>
        <n v="2.2269803714022514"/>
        <n v="10.956980371402253"/>
        <n v="11.036980371402251"/>
        <n v="58.16698037140225"/>
        <n v="36.66698037140225"/>
        <n v="18.026980371402253"/>
        <n v="67.35698037140224"/>
        <n v="50.99698037140225"/>
        <n v="10.676980371402252"/>
        <n v="12.396980371402252"/>
        <n v="24.616980371402253"/>
        <n v="40.446980371402255"/>
        <n v="46.65698037140225"/>
        <n v="11.916980371402252"/>
        <n v="18.17698037140225"/>
        <n v="11.716980371402252"/>
        <n v="17.32698037140225"/>
        <n v="14.156980371402252"/>
        <n v="12.756980371402252"/>
        <n v="61.28698037140225"/>
        <n v="20.956980371402253"/>
        <n v="34.59698037140225"/>
        <n v="31.166980371402254"/>
        <n v="18.37698037140225"/>
        <n v="45.89698037140225"/>
        <n v="9.346980371402251"/>
        <n v="14.726980371402252"/>
        <n v="16.28698037140225"/>
        <n v="13.446980371402251"/>
        <n v="38.36698037140225"/>
        <n v="57.18698037140225"/>
        <n v="7.156980371402252"/>
        <n v="31.11698037140225"/>
        <n v="58.39698037140225"/>
        <n v="9.546980371402253"/>
        <n v="32.82698037140225"/>
        <n v="53.71698037140225"/>
        <n v="31.496980371402252"/>
        <n v="11.806980371402252"/>
        <n v="14.316980371402252"/>
        <n v="13.426980371402252"/>
        <n v="32.95698037140225"/>
        <n v="9.686980371402251"/>
        <n v="74.93698037140224"/>
        <n v="63.946980371402255"/>
        <n v="70.00698037140225"/>
        <n v="40.02698037140225"/>
        <n v="45.31698037140225"/>
        <n v="40.626980371402254"/>
        <n v="10.546980371402253"/>
        <n v="9.766980371402251"/>
        <n v="50.306980371402254"/>
        <n v="3.096980371402251"/>
        <n v="9.806980371402252"/>
        <n v="22.89698037140225"/>
        <n v="31.706980371402253"/>
        <n v="21.746980371402252"/>
        <n v="10.826980371402252"/>
        <n v="48.96698037140225"/>
        <n v="13.216980371402252"/>
        <n v="21.916980371402254"/>
        <n v="20.32698037140225"/>
        <n v="1.5469803714022512"/>
        <n v="2.8969803714022513"/>
        <n v="38.03698037140225"/>
        <n v="40.66698037140225"/>
        <n v="32.86698037140225"/>
        <n v="34.236980371402254"/>
        <n v="11.896980371402252"/>
        <n v="63.87698037140225"/>
        <n v="11.026980371402251"/>
        <n v="13.956980371402253"/>
        <n v="45.39698037140225"/>
        <n v="30.98698037140225"/>
        <n v="8.926980371402252"/>
        <n v="63.89698037140226"/>
        <n v="30.23698037140225"/>
        <n v="45.35698037140225"/>
        <n v="22.37698037140225"/>
        <n v="11.946980371402251"/>
        <n v="66.92698037140225"/>
        <n v="0.3869803714022513"/>
        <n v="20.17698037140225"/>
        <n v="51.14698037140225"/>
        <n v="1.8669803714022515"/>
        <n v="37.85698037140225"/>
        <n v="17.78698037140225"/>
        <n v="0.5169803714022514"/>
        <n v="11.886980371402252"/>
        <n v="1.1669803714022513"/>
        <n v="29.246980371402252"/>
        <n v="41.17698037140225"/>
        <n v="15.316980371402252"/>
        <n v="16.366980371402253"/>
        <n v="23.346980371402253"/>
        <n v="25.566980371402252"/>
        <n v="38.40698037140225"/>
        <n v="22.67698037140225"/>
        <n v="45.57698037140225"/>
        <n v="27.19698037140225"/>
        <n v="31.53698037140225"/>
        <n v="49.946980371402255"/>
        <n v="31.316980371402252"/>
        <n v="64.26698037140224"/>
        <n v="3.1169803714022515"/>
        <n v="43.336980371402255"/>
        <n v="49.21698037140225"/>
        <n v="14.796980371402253"/>
        <n v="28.51698037140225"/>
        <n v="11.616980371402251"/>
        <n v="29.416980371402254"/>
        <n v="1.4369803714022513"/>
        <n v="37.56698037140225"/>
        <n v="29.80698037140225"/>
        <n v="26.33698037140225"/>
        <n v="29.17698037140225"/>
        <n v="15.46698037140225"/>
        <n v="32.64698037140225"/>
        <n v="28.776980371402253"/>
        <n v="31.68698037140225"/>
        <n v="68.51698037140224"/>
        <n v="17.616980371402253"/>
        <n v="45.54698037140225"/>
        <n v="1.4669803714022516"/>
        <n v="11.466980371402252"/>
        <n v="76.04698037140224"/>
        <n v="11.546980371402253"/>
        <n v="38.57698037140225"/>
        <n v="9.416980371402252"/>
        <n v="1.4969803714022514"/>
        <n v="26.26698037140225"/>
        <n v="25.206980371402253"/>
        <n v="33.79698037140225"/>
        <n v="36.02698037140225"/>
        <n v="36.236980371402254"/>
        <n v="28.19698037140225"/>
        <n v="41.196980371402255"/>
        <n v="7.976980371402252"/>
        <n v="37.47698037140225"/>
        <n v="15.296980371402253"/>
        <n v="64.18698037140224"/>
        <n v="26.616980371402253"/>
        <n v="23.776980371402253"/>
        <n v="16.136980371402252"/>
        <n v="31.096980371402253"/>
        <n v="54.96698037140225"/>
        <n v="10.646980371402252"/>
        <n v="38.46698037140225"/>
        <n v="15.506980371402253"/>
        <n v="23.726980371402252"/>
        <n v="14.866980371402251"/>
        <n v="15.32698037140225"/>
        <n v="9.826980371402252"/>
        <n v="37.90698037140225"/>
        <n v="26.886980371402252"/>
        <n v="9.996980371402252"/>
        <n v="55.586980371402255"/>
        <n v="13.006980371402252"/>
        <n v="1.5369803714022514"/>
        <n v="35.61698037140225"/>
        <n v="1.7369803714022516"/>
        <n v="11.706980371402253"/>
        <n v="12.826980371402252"/>
        <n v="43.67698037140225"/>
        <n v="28.60698037140225"/>
        <n v="10.226980371402252"/>
        <n v="47.78698037140225"/>
        <n v="17.71698037140225"/>
        <n v="2.7269803714022514"/>
        <n v="35.806980371402254"/>
        <n v="59.54698037140225"/>
        <n v="1.8069803714022514"/>
        <n v="9.586980371402252"/>
        <n v="38.79698037140225"/>
        <n v="1.7069803714022513"/>
        <n v="17.636980371402252"/>
        <n v="3.6069803714022517"/>
        <n v="20.46698037140225"/>
        <n v="14.506980371402252"/>
        <n v="9.746980371402252"/>
        <n v="50.34698037140225"/>
        <n v="15.566980371402252"/>
        <n v="1.8469803714022515"/>
        <n v="67.75698037140225"/>
        <n v="46.72698037140225"/>
        <n v="11.046980371402253"/>
        <n v="9.426980371402252"/>
        <n v="13.656980371402252"/>
        <n v="11.096980371402251"/>
        <n v="2.7069803714022513"/>
        <n v="18.71698037140225"/>
        <n v="14.076980371402252"/>
        <n v="13.946980371402251"/>
        <n v="39.49698037140225"/>
        <n v="2.3269803714022514"/>
        <n v="9.536980371402251"/>
        <n v="15.62698037140225"/>
        <n v="19.12698037140225"/>
        <n v="36.93698037140225"/>
        <n v="18.906980371402252"/>
        <n v="55.27698037140225"/>
        <n v="13.766980371402251"/>
        <n v="15.516980371402251"/>
        <n v="6.466980371402251"/>
        <n v="61.736980371402254"/>
        <n v="37.40698037140225"/>
        <n v="20.366980371402253"/>
        <n v="59.016980371402255"/>
        <n v="12.946980371402251"/>
        <n v="10.176980371402252"/>
        <n v="65.79698037140224"/>
        <n v="10.776980371402251"/>
        <n v="17.51698037140225"/>
        <n v="10.626980371402253"/>
        <n v="11.326980371402252"/>
        <n v="18.096980371402253"/>
        <n v="32.32698037140225"/>
        <n v="13.796980371402253"/>
        <n v="21.96698037140225"/>
        <n v="13.826980371402252"/>
        <n v="40.876980371402254"/>
        <n v="18.21698037140225"/>
        <n v="12.696980371402251"/>
        <n v="13.876980371402253"/>
        <n v="41.03698037140225"/>
        <n v="39.25698037140225"/>
        <n v="34.99698037140225"/>
        <n v="3.9369803714022518"/>
        <n v="0.7069803714022513"/>
        <n v="14.026980371402251"/>
        <n v="10.836980371402252"/>
        <n v="36.56698037140225"/>
        <n v="16.386980371402252"/>
        <n v="4.396980371402252"/>
        <n v="36.336980371402255"/>
        <n v="16.62698037140225"/>
        <n v="31.40698037140225"/>
        <n v="31.916980371402254"/>
        <n v="12.686980371402251"/>
        <n v="36.82698037140225"/>
        <n v="24.78698037140225"/>
        <n v="13.046980371402253"/>
        <n v="30.226980371402252"/>
        <n v="11.166980371402252"/>
        <n v="12.206980371402253"/>
        <n v="34.78698037140225"/>
        <n v="2.8269803714022514"/>
        <n v="14.666980371402252"/>
        <n v="2.776980371402251"/>
        <n v="19.156980371402252"/>
        <n v="2.0369803714022514"/>
        <n v="2.5769803714022514"/>
        <n v="76.29698037140224"/>
        <n v="11.456980371402253"/>
        <n v="61.056980371402254"/>
        <n v="35.50698037140225"/>
        <n v="18.816980371402252"/>
        <n v="49.696980371402255"/>
        <n v="31.21698037140225"/>
        <n v="5.8469803714022515"/>
        <n v="28.21698037140225"/>
        <n v="14.706980371402253"/>
        <n v="50.06698037140225"/>
        <n v="21.436980371402253"/>
        <n v="28.636980371402252"/>
        <n v="13.326980371402252"/>
        <n v="14.096980371402251"/>
        <n v="15.206980371402253"/>
        <n v="19.76698037140225"/>
        <n v="9.476980371402252"/>
        <n v="3.2469803714022514"/>
        <n v="0.4069803714022513"/>
        <n v="26.936980371402253"/>
        <n v="22.28698037140225"/>
        <n v="62.77698037140225"/>
        <n v="13.966980371402252"/>
        <n v="32.52698037140225"/>
        <n v="2.8469803714022515"/>
        <n v="2.9569803714022513"/>
        <n v="32.85698037140225"/>
        <n v="18.746980371402252"/>
        <n v="12.586980371402252"/>
        <n v="35.13698037140225"/>
        <n v="7.266980371402251"/>
        <n v="19.69698037140225"/>
        <n v="31.36698037140225"/>
        <n v="16.066980371402252"/>
        <n v="69.08698037140225"/>
        <n v="7.496980371402252"/>
        <n v="31.086980371402255"/>
        <n v="20.53698037140225"/>
        <n v="27.226980371402252"/>
        <n v="55.486980371402254"/>
        <n v="25.87698037140225"/>
        <n v="34.97698037140225"/>
        <n v="33.72698037140225"/>
        <n v="18.67698037140225"/>
        <n v="10.306980371402252"/>
        <n v="16.07698037140225"/>
        <n v="20.046980371402253"/>
        <n v="32.61698037140225"/>
        <n v="74.40698037140224"/>
        <n v="58.29698037140225"/>
        <n v="9.666980371402252"/>
        <n v="22.976980371402252"/>
        <n v="41.78698037140225"/>
        <n v="18.636980371402252"/>
        <n v="20.73698037140225"/>
        <n v="28.456980371402253"/>
        <n v="69.03698037140225"/>
        <n v="30.096980371402253"/>
        <n v="0.2969803714022514"/>
        <n v="12.966980371402252"/>
        <n v="59.52698037140225"/>
        <n v="3.296980371402251"/>
        <n v="64.53698037140225"/>
        <n v="12.836980371402252"/>
        <n v="28.30698037140225"/>
        <n v="15.916980371402254"/>
        <n v="17.62698037140225"/>
        <n v="33.10698037140225"/>
        <n v="2.5369803714022514"/>
        <n v="3.556980371402251"/>
        <n v="37.946980371402255"/>
        <n v="39.27698037140225"/>
        <n v="53.63698037140225"/>
        <n v="38.90698037140225"/>
        <n v="30.07698037140225"/>
        <n v="39.92698037140225"/>
        <n v="9.256980371402252"/>
        <n v="23.816980371402252"/>
        <n v="40.56698037140225"/>
        <n v="3.7869803714022514"/>
        <n v="15.426980371402252"/>
        <n v="11.396980371402252"/>
        <n v="9.926980371402252"/>
        <n v="33.59698037140225"/>
        <n v="39.39698037140225"/>
        <n v="32.50698037140225"/>
        <n v="68.61698037140225"/>
        <n v="19.96698037140225"/>
        <n v="9.206980371402253"/>
        <n v="12.236980371402252"/>
        <n v="10.496980371402252"/>
        <n v="3.176980371402251"/>
        <n v="40.75698037140225"/>
        <n v="0.6669803714022513"/>
        <n v="11.256980371402252"/>
        <n v="1.3769803714022513"/>
        <n v="35.03698037140225"/>
        <n v="35.126980371402254"/>
        <n v="21.656980371402252"/>
        <n v="14.886980371402252"/>
        <n v="1.9269803714022515"/>
        <n v="9.986980371402252"/>
        <n v="1.4869803714022516"/>
        <n v="11.226980371402252"/>
        <n v="37.57698037140225"/>
        <n v="62.54698037140225"/>
        <n v="2.2169803714022516"/>
        <n v="67.55698037140225"/>
        <n v="59.736980371402254"/>
        <n v="51.24698037140225"/>
        <n v="15.586980371402252"/>
        <n v="7.516980371402251"/>
        <n v="57.766980371402255"/>
        <n v="42.52698037140225"/>
        <n v="77.33698037140225"/>
        <n v="19.44698037140225"/>
        <n v="55.71698037140225"/>
        <n v="47.36698037140225"/>
        <n v="10.186980371402251"/>
        <n v="29.01698037140225"/>
        <n v="21.14698037140225"/>
        <n v="20.456980371402253"/>
        <n v="10.026980371402251"/>
        <n v="35.25698037140225"/>
        <n v="61.54698037140225"/>
        <n v="31.67698037140225"/>
        <n v="35.53698037140225"/>
        <n v="48.72698037140225"/>
        <n v="23.976980371402252"/>
        <n v="38.016980371402255"/>
        <n v="60.20698037140225"/>
        <n v="26.166980371402254"/>
        <n v="52.13698037140225"/>
        <n v="16.60698037140225"/>
        <n v="40.086980371402255"/>
        <n v="13.106980371402251"/>
        <n v="34.626980371402254"/>
        <n v="13.126980371402253"/>
        <n v="0.9269803714022513"/>
        <n v="30.636980371402252"/>
        <n v="38.56698037140225"/>
        <n v="1.5769803714022514"/>
        <n v="31.78698037140225"/>
        <n v="31.47698037140225"/>
        <n v="12.356980371402251"/>
        <n v="6.156980371402252"/>
        <n v="13.146980371402252"/>
        <n v="13.996980371402252"/>
        <n v="12.256980371402252"/>
        <n v="11.636980371402252"/>
        <n v="16.87698037140225"/>
        <n v="65.63698037140225"/>
        <n v="39.236980371402254"/>
        <n v="9.516980371402251"/>
        <n v="33.17698037140225"/>
        <n v="10.156980371402252"/>
        <n v="33.99698037140225"/>
        <n v="11.626980371402253"/>
        <n v="1.8369803714022512"/>
        <n v="17.416980371402254"/>
        <n v="27.846980371402253"/>
        <n v="49.84698037140225"/>
        <n v="16.48698037140225"/>
        <n v="14.136980371402252"/>
        <n v="2.2469803714022514"/>
        <n v="14.756980371402252"/>
        <n v="12.406980371402252"/>
        <n v="2.1769803714022515"/>
        <n v="42.626980371402254"/>
        <n v="2.0569803714022514"/>
        <n v="13.156980371402252"/>
        <n v="11.866980371402251"/>
        <n v="54.89698037140225"/>
        <n v="36.14698037140225"/>
        <n v="38.28698037140225"/>
        <n v="22.186980371402253"/>
        <n v="14.646980371402252"/>
        <n v="10.586980371402252"/>
        <n v="20.03698037140225"/>
        <n v="63.93698037140225"/>
        <n v="10.846980371402251"/>
        <n v="29.756980371402253"/>
        <n v="4.336980371402252"/>
        <n v="9.156980371402252"/>
        <n v="28.82698037140225"/>
        <n v="35.45698037140225"/>
        <n v="13.556980371402252"/>
        <n v="15.356980371402251"/>
        <n v="17.886980371402252"/>
        <n v="39.84698037140225"/>
        <n v="25.57698037140225"/>
        <n v="16.416980371402254"/>
        <n v="2.6569803714022515"/>
        <n v="28.746980371402252"/>
        <n v="3.9969803714022514"/>
        <n v="44.15698037140225"/>
        <n v="28.866980371402253"/>
        <n v="3.3769803714022513"/>
        <n v="26.42698037140225"/>
        <n v="9.136980371402252"/>
        <n v="67.29698037140224"/>
        <n v="10.616980371402251"/>
        <n v="45.28698037140225"/>
        <n v="31.026980371402253"/>
        <n v="20.85698037140225"/>
        <n v="13.016980371402251"/>
        <n v="57.49698037140225"/>
        <n v="2.1869803714022513"/>
        <n v="12.226980371402252"/>
        <n v="46.876980371402254"/>
        <n v="9.556980371402252"/>
        <n v="15.766980371402251"/>
        <n v="33.36698037140225"/>
        <n v="25.46698037140225"/>
        <n v="45.97698037140225"/>
        <n v="62.17698037140225"/>
        <n v="31.386980371402252"/>
        <n v="16.686980371402253"/>
        <n v="18.166980371402254"/>
        <n v="71.36698037140225"/>
        <n v="63.39698037140226"/>
        <n v="26.866980371402253"/>
        <n v="14.876980371402253"/>
        <n v="28.78698037140225"/>
        <n v="18.726980371402252"/>
        <n v="2.6069803714022513"/>
        <n v="11.066980371402252"/>
        <n v="11.286980371402251"/>
        <n v="58.49698037140225"/>
        <n v="28.416980371402254"/>
        <n v="49.66698037140225"/>
        <n v="20.83698037140225"/>
        <n v="28.506980371402253"/>
        <n v="58.81698037140225"/>
        <n v="3.056980371402251"/>
        <n v="20.746980371402252"/>
        <n v="18.83698037140225"/>
        <n v="18.526980371402253"/>
        <n v="13.436980371402251"/>
        <n v="17.666980371402254"/>
        <n v="38.85698037140225"/>
        <n v="47.236980371402254"/>
        <n v="13.786980371402251"/>
        <n v="24.51698037140225"/>
        <n v="26.366980371402253"/>
        <n v="25.76698037140225"/>
        <n v="10.106980371402251"/>
        <n v="27.30698037140225"/>
        <n v="26.816980371402252"/>
        <n v="33.54698037140225"/>
        <n v="31.636980371402252"/>
        <n v="40.31698037140225"/>
        <n v="73.67698037140225"/>
        <n v="12.656980371402252"/>
        <n v="61.24698037140225"/>
        <n v="1.6069803714022513"/>
        <n v="46.60698037140225"/>
        <n v="64.13698037140225"/>
        <n v="10.286980371402251"/>
        <n v="34.13698037140225"/>
        <n v="19.226980371402252"/>
        <n v="25.12698037140225"/>
        <n v="27.546980371402253"/>
        <n v="30.596980371402253"/>
        <n v="14.916980371402252"/>
        <n v="50.696980371402255"/>
        <n v="8.996980371402252"/>
        <n v="34.85698037140225"/>
        <n v="56.96698037140225"/>
        <n v="52.86698037140225"/>
        <n v="1.9569803714022513"/>
        <n v="30.276980371402253"/>
        <n v="9.266980371402251"/>
        <n v="11.186980371402251"/>
        <n v="30.436980371402253"/>
        <n v="26.21698037140225"/>
        <n v="19.686980371402253"/>
        <n v="67.88698037140225"/>
        <n v="28.936980371402253"/>
        <n v="33.27698037140225"/>
        <n v="22.796980371402253"/>
        <n v="51.00698037140225"/>
        <n v="21.406980371402252"/>
        <n v="18.686980371402253"/>
        <n v="13.926980371402252"/>
        <n v="3.346980371402251"/>
        <n v="31.43698037140225"/>
        <n v="6.0969803714022515"/>
        <n v="40.79698037140225"/>
        <n v="31.556980371402254"/>
        <n v="27.656980371402252"/>
        <n v="53.196980371402255"/>
        <n v="70.79698037140224"/>
        <n v="16.76698037140225"/>
        <n v="43.266980371402255"/>
        <n v="13.846980371402251"/>
        <n v="0.3669803714022515"/>
        <n v="1.1869803714022513"/>
        <n v="11.476980371402252"/>
        <n v="38.516980371402255"/>
        <n v="2.316980371402251"/>
        <n v="25.026980371402253"/>
        <n v="42.56698037140225"/>
        <n v="0.3569803714022515"/>
        <n v="33.22698037140225"/>
        <n v="27.64698037140225"/>
        <n v="11.856980371402251"/>
        <n v="3.796980371402251"/>
        <n v="53.35698037140225"/>
        <n v="17.506980371402253"/>
        <n v="19.546980371402253"/>
        <n v="14.446980371402251"/>
        <n v="39.336980371402255"/>
        <n v="52.36698037140225"/>
        <n v="26.776980371402253"/>
        <n v="43.92698037140225"/>
        <n v="25.116980371402253"/>
        <n v="4.236980371402252"/>
        <n v="30.756980371402253"/>
        <n v="63.52698037140225"/>
        <n v="12.146980371402252"/>
        <n v="18.596980371402253"/>
        <n v="58.626980371402254"/>
        <n v="27.136980371402252"/>
        <n v="23.85698037140225"/>
        <n v="50.68698037140225"/>
        <n v="28.096980371402253"/>
        <n v="3.3269803714022514"/>
        <n v="1.0669803714022512"/>
        <n v="31.64698037140225"/>
        <n v="54.68698037140225"/>
        <n v="14.906980371402252"/>
        <n v="18.496980371402252"/>
        <n v="13.166980371402252"/>
        <n v="24.386980371402252"/>
        <n v="45.81698037140225"/>
        <n v="48.06698037140225"/>
        <n v="71.00698037140225"/>
        <n v="11.596980371402251"/>
        <n v="1.5869803714022512"/>
        <n v="10.006980371402252"/>
        <n v="11.836980371402252"/>
        <n v="8.516980371402251"/>
        <n v="19.346980371402253"/>
        <n v="57.53698037140225"/>
        <n v="8.286980371402251"/>
        <n v="50.49698037140225"/>
        <n v="3.3569803714022517"/>
        <n v="36.13698037140225"/>
        <n v="30.57698037140225"/>
        <n v="31.266980371402255"/>
        <n v="41.85698037140225"/>
        <n v="3.5369803714022514"/>
        <n v="21.05698037140225"/>
        <n v="15.37698037140225"/>
        <n v="76.93698037140224"/>
        <n v="2.6969803714022516"/>
        <n v="22.166980371402254"/>
        <n v="54.14698037140225"/>
        <n v="2.5969803714022515"/>
        <n v="14.616980371402251"/>
        <n v="4.406980371402252"/>
        <n v="38.18698037140225"/>
        <n v="20.89698037140225"/>
        <n v="1.8269803714022514"/>
        <n v="4.296980371402251"/>
        <n v="33.60698037140225"/>
        <n v="33.46698037140225"/>
        <n v="12.846980371402251"/>
        <n v="3.306980371402251"/>
        <n v="14.576980371402252"/>
        <n v="75.28698037140225"/>
        <n v="34.766980371402255"/>
        <n v="9.376980371402253"/>
        <n v="55.91698037140225"/>
        <n v="0.4269803714022513"/>
        <n v="32.67698037140225"/>
        <n v="35.81698037140225"/>
        <n v="11.536980371402251"/>
        <n v="17.006980371402253"/>
        <n v="32.53698037140225"/>
        <n v="15.48698037140225"/>
        <n v="33.77698037140225"/>
        <n v="46.13698037140225"/>
        <n v="30.33698037140225"/>
        <n v="12.666980371402252"/>
        <n v="21.58698037140225"/>
        <n v="27.80698037140225"/>
        <n v="14.656980371402252"/>
        <n v="16.936980371402253"/>
        <n v="17.296980371402253"/>
        <n v="21.32698037140225"/>
        <n v="72.15698037140224"/>
        <n v="35.836980371402255"/>
        <n v="11.126980371402253"/>
        <n v="29.936980371402253"/>
        <n v="0.7769803714022514"/>
        <n v="52.65698037140225"/>
        <n v="27.67698037140225"/>
        <n v="13.806980371402252"/>
        <n v="27.596980371402253"/>
        <n v="39.81698037140225"/>
        <n v="38.41698037140225"/>
        <n v="2.3969803714022513"/>
        <n v="3.5869803714022512"/>
        <n v="2.8869803714022515"/>
        <n v="54.40698037140225"/>
        <n v="31.89698037140225"/>
        <n v="37.836980371402255"/>
        <n v="39.20698037140225"/>
        <n v="15.946980371402251"/>
        <n v="27.866980371402253"/>
        <n v="55.79698037140225"/>
        <n v="28.436980371402253"/>
        <n v="2.4069803714022515"/>
        <n v="30.616980371402253"/>
        <n v="59.82698037140225"/>
        <n v="62.18698037140225"/>
        <n v="41.18698037140225"/>
        <n v="10.086980371402252"/>
        <n v="35.68698037140225"/>
        <n v="16.546980371402253"/>
        <n v="40.40698037140225"/>
        <n v="1.4269803714022515"/>
        <n v="24.006980371402253"/>
        <n v="14.006980371402252"/>
        <n v="33.696980371402255"/>
        <n v="14.976980371402252"/>
        <n v="14.066980371402252"/>
        <n v="47.84698037140225"/>
        <n v="10.696980371402251"/>
        <n v="57.93698037140225"/>
        <n v="13.206980371402253"/>
        <n v="33.15698037140225"/>
        <n v="15.366980371402253"/>
        <n v="37.64698037140225"/>
        <n v="21.01698037140225"/>
        <n v="17.21698037140225"/>
        <n v="53.77698037140225"/>
        <n v="68.21698037140224"/>
        <n v="1.5669803714022512"/>
        <n v="0.8369803714022515"/>
        <n v="14.196980371402251"/>
        <n v="16.906980371402252"/>
        <n v="14.086980371402252"/>
        <n v="40.13698037140225"/>
        <n v="65.91698037140225"/>
        <n v="14.736980371402252"/>
        <n v="33.336980371402255"/>
        <n v="1.4469803714022516"/>
        <n v="62.876980371402254"/>
        <n v="2.026980371402251"/>
        <n v="31.54698037140225"/>
        <n v="9.636980371402252"/>
        <n v="24.58698037140225"/>
        <n v="1.6969803714022516"/>
        <n v="74.55698037140225"/>
        <n v="1.9369803714022513"/>
        <n v="15.456980371402253"/>
        <n v="10.746980371402252"/>
        <n v="35.266980371402255"/>
        <n v="1.6769803714022515"/>
        <n v="48.67698037140225"/>
        <n v="12.626980371402253"/>
        <n v="13.356980371402251"/>
        <n v="11.236980371402252"/>
        <n v="2.046980371402251"/>
        <n v="51.45698037140225"/>
        <n v="3.136980371402251"/>
        <n v="58.42698037140225"/>
        <n v="32.84698037140225"/>
        <n v="9.386980371402252"/>
        <n v="3.0769803714022514"/>
        <n v="12.046980371402253"/>
        <n v="36.74698037140225"/>
        <n v="11.906980371402252"/>
        <n v="19.87698037140225"/>
        <n v="6.966980371402251"/>
        <n v="12.806980371402252"/>
        <n v="15.07698037140225"/>
        <n v="10.856980371402251"/>
        <n v="60.60698037140225"/>
        <n v="30.656980371402252"/>
        <n v="34.306980371402254"/>
        <n v="67.12698037140224"/>
        <n v="7.866980371402251"/>
        <n v="9.876980371402253"/>
        <n v="36.77698037140225"/>
        <n v="12.906980371402252"/>
        <n v="16.656980371402252"/>
        <n v="32.31698037140225"/>
        <n v="10.016980371402251"/>
        <n v="75.77698037140225"/>
        <n v="45.22698037140225"/>
        <n v="15.066980371402252"/>
        <n v="21.666980371402254"/>
        <n v="28.276980371402253"/>
        <n v="12.896980371402252"/>
        <n v="14.766980371402251"/>
        <n v="47.626980371402254"/>
        <n v="64.87698037140224"/>
        <n v="35.22698037140225"/>
        <n v="34.75698037140225"/>
        <n v="68.52698037140225"/>
        <n v="17.686980371402253"/>
        <n v="51.89698037140225"/>
        <n v="9.616980371402251"/>
        <n v="22.666980371402254"/>
        <n v="71.91698037140225"/>
        <n v="17.276980371402253"/>
        <n v="9.886980371402252"/>
        <n v="30.006980371402253"/>
        <n v="48.77698037140225"/>
        <n v="14.416980371402252"/>
        <n v="53.336980371402255"/>
        <n v="28.35698037140225"/>
        <n v="38.63698037140225"/>
        <n v="51.766980371402255"/>
        <n v="56.486980371402254"/>
        <n v="56.78698037140225"/>
        <n v="36.49698037140225"/>
        <n v="35.41698037140225"/>
        <n v="0.9669803714022513"/>
        <n v="37.18698037140225"/>
        <n v="73.25698037140225"/>
        <n v="19.526980371402253"/>
        <n v="33.31698037140225"/>
        <n v="27.46698037140225"/>
        <n v="32.49698037140225"/>
        <n v="51.306980371402254"/>
        <n v="28.28698037140225"/>
        <n v="33.556980371402254"/>
        <n v="64.43698037140224"/>
        <n v="37.61698037140225"/>
        <n v="32.876980371402254"/>
        <n v="26.956980371402253"/>
        <n v="10.666980371402252"/>
        <n v="31.596980371402253"/>
        <n v="37.66698037140225"/>
        <n v="17.30698037140225"/>
        <n v="10.936980371402251"/>
        <n v="54.99698037140225"/>
        <n v="12.866980371402251"/>
        <n v="17.07698037140225"/>
        <n v="56.376980371402254"/>
        <n v="2.9169803714022513"/>
        <n v="34.07698037140225"/>
        <n v="26.066980371402252"/>
        <n v="1.9869803714022516"/>
        <n v="55.126980371402254"/>
        <n v="15.05698037140225"/>
        <n v="43.00698037140225"/>
        <n v="31.46698037140225"/>
        <n v="24.046980371402253"/>
        <n v="32.47698037140225"/>
        <n v="42.586980371402255"/>
        <n v="36.736980371402254"/>
        <n v="33.00698037140225"/>
        <n v="30.53698037140225"/>
        <n v="14.476980371402252"/>
        <n v="15.886980371402252"/>
        <n v="37.79698037140225"/>
        <n v="13.196980371402251"/>
        <n v="15.80698037140225"/>
        <n v="54.736980371402254"/>
        <n v="67.64698037140225"/>
        <n v="38.09698037140225"/>
        <n v="26.01698037140225"/>
        <n v="39.88698037140225"/>
        <n v="14.676980371402252"/>
        <n v="15.086980371402252"/>
        <n v="37.91698037140225"/>
        <n v="10.786980371402251"/>
        <n v="52.78698037140225"/>
        <n v="3.046980371402251"/>
        <n v="51.57698037140225"/>
        <n v="32.27698037140225"/>
        <n v="31.04698037140225"/>
        <n v="9.606980371402251"/>
        <n v="66.86698037140225"/>
        <n v="10.416980371402252"/>
        <n v="50.64698037140225"/>
        <n v="10.966980371402252"/>
        <n v="29.886980371402252"/>
        <n v="27.746980371402252"/>
        <n v="13.406980371402252"/>
        <n v="1.1969803714022516"/>
        <n v="38.27698037140225"/>
        <n v="20.346980371402253"/>
        <n v="48.31698037140225"/>
        <n v="13.916980371402252"/>
        <n v="31.376980371402254"/>
        <n v="14.536980371402251"/>
        <n v="68.82698037140224"/>
        <n v="13.676980371402252"/>
        <n v="24.566980371402252"/>
        <n v="33.97698037140225"/>
        <n v="13.246980371402252"/>
        <n v="46.11698037140225"/>
        <n v="72.95698037140224"/>
        <n v="14.856980371402251"/>
        <n v="75.20698037140224"/>
        <n v="51.93698037140225"/>
        <n v="28.14698037140225"/>
        <n v="3.9069803714022515"/>
        <n v="30.866980371402253"/>
        <n v="18.476980371402252"/>
        <n v="10.316980371402252"/>
        <n v="12.546980371402253"/>
        <n v="29.73698037140225"/>
        <n v="17.64698037140225"/>
        <n v="10.906980371402252"/>
        <n v="18.51698037140225"/>
        <n v="19.32698037140225"/>
        <n v="23.98698037140225"/>
        <n v="38.53698037140225"/>
        <n v="16.046980371402253"/>
        <n v="13.256980371402252"/>
        <n v="13.186980371402251"/>
        <n v="16.03698037140225"/>
        <n v="11.726980371402252"/>
        <n v="33.93698037140225"/>
        <n v="62.196980371402255"/>
        <n v="17.44698037140225"/>
        <n v="26.526980371402253"/>
        <n v="18.276980371402253"/>
        <n v="30.666980371402254"/>
        <n v="4.206980371402251"/>
        <n v="2.0869803714022512"/>
        <n v="22.506980371402253"/>
        <n v="18.796980371402253"/>
        <n v="45.21698037140225"/>
        <n v="50.90698037140225"/>
        <n v="17.42698037140225"/>
        <n v="42.736980371402254"/>
        <n v="29.026980371402253"/>
        <n v="24.37698037140225"/>
        <n v="13.176980371402252"/>
        <n v="35.31698037140225"/>
        <n v="2.3069803714022514"/>
        <n v="63.846980371402246"/>
        <n v="30.246980371402252"/>
        <n v="15.936980371402253"/>
        <n v="29.636980371402252"/>
        <n v="0.9369803714022513"/>
        <n v="12.296980371402253"/>
        <n v="36.21698037140225"/>
        <n v="19.58698037140225"/>
        <n v="15.386980371402252"/>
        <n v="28.226980371402252"/>
        <n v="75.69698037140225"/>
        <n v="42.61698037140225"/>
        <n v="29.85698037140225"/>
        <n v="39.61698037140225"/>
        <n v="10.996980371402252"/>
        <n v="24.776980371402253"/>
        <n v="14.226980371402252"/>
        <n v="20.566980371402252"/>
        <n v="13.466980371402252"/>
        <n v="78.46698037140224"/>
        <n v="20.526980371402253"/>
        <n v="26.62698037140225"/>
        <n v="52.77698037140225"/>
        <n v="27.14698037140225"/>
        <n v="30.14698037140225"/>
        <n v="41.89698037140225"/>
        <n v="67.84698037140224"/>
        <n v="9.316980371402252"/>
        <n v="58.31698037140225"/>
        <n v="12.996980371402252"/>
        <n v="30.456980371402253"/>
        <n v="26.346980371402253"/>
        <n v="23.92698037140225"/>
        <n v="13.706980371402253"/>
        <n v="25.616980371402253"/>
        <n v="24.33698037140225"/>
        <n v="51.78698037140225"/>
        <n v="25.006980371402253"/>
        <n v="10.806980371402252"/>
        <n v="12.216980371402252"/>
        <n v="26.186980371402253"/>
        <n v="14.236980371402252"/>
        <n v="10.636980371402252"/>
        <n v="13.116980371402251"/>
        <n v="34.21698037140225"/>
        <n v="48.04698037140225"/>
        <n v="26.156980371402252"/>
        <n v="8.456980371402253"/>
        <n v="13.056980371402252"/>
        <n v="21.17698037140225"/>
        <n v="15.246980371402252"/>
        <n v="25.496980371402252"/>
        <n v="31.696980371402255"/>
        <n v="10.366980371402251"/>
        <n v="75.06698037140224"/>
        <n v="44.03698037140225"/>
        <n v="21.816980371402252"/>
        <n v="27.006980371402253"/>
        <n v="25.39698037140225"/>
        <n v="22.46698037140225"/>
        <n v="12.616980371402251"/>
        <n v="4.266980371402251"/>
        <n v="29.89698037140225"/>
        <n v="42.306980371402254"/>
        <n v="11.196980371402251"/>
        <n v="12.066980371402252"/>
        <n v="12.876980371402253"/>
        <n v="29.07698037140225"/>
        <n v="53.17698037140225"/>
        <n v="36.34698037140225"/>
        <n v="11.276980371402251"/>
        <n v="23.506980371402253"/>
        <n v="68.68698037140224"/>
        <n v="16.506980371402253"/>
        <n v="13.736980371402252"/>
        <n v="17.366980371402253"/>
        <n v="38.306980371402254"/>
        <n v="42.81698037140225"/>
        <n v="37.97698037140225"/>
        <n v="36.15698037140225"/>
        <n v="33.91698037140225"/>
        <n v="62.086980371402255"/>
        <n v="63.65698037140225"/>
        <n v="11.146980371402252"/>
        <n v="24.53698037140225"/>
        <n v="11.816980371402252"/>
        <n v="35.74698037140225"/>
        <n v="28.01698037140225"/>
        <n v="26.726980371402252"/>
        <n v="66.78698037140225"/>
        <n v="69.67698037140225"/>
        <n v="35.946980371402255"/>
        <n v="17.436980371402253"/>
        <n v="40.696980371402255"/>
        <n v="19.51698037140225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</sharedItems>
    </cacheField>
    <cacheField name="Mês" numFmtId="49">
      <sharedItems>
        <s v="jan."/>
        <s v="fev."/>
        <s v="mar."/>
        <s v="abr."/>
        <s v="mai."/>
        <s v="jun."/>
        <s v="jul."/>
        <s v="ago."/>
        <s v="set."/>
        <s v="out."/>
        <s v="nov."/>
        <s v="dez.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45" sheet="mercado_acoes"/>
  </cacheSource>
  <cacheFields>
    <cacheField name="Código Cliente" numFmtId="0">
      <sharedItems containsSemiMixedTypes="0" containsString="0" containsNumber="1" containsInteger="1">
        <n v="30.0"/>
        <n v="78.0"/>
        <n v="50.0"/>
        <n v="80.0"/>
        <n v="68.0"/>
        <n v="48.0"/>
        <n v="100.0"/>
        <n v="81.0"/>
        <n v="15.0"/>
        <n v="86.0"/>
        <n v="60.0"/>
        <n v="97.0"/>
        <n v="99.0"/>
        <n v="28.0"/>
        <n v="3.0"/>
        <n v="2.0"/>
        <n v="54.0"/>
        <n v="39.0"/>
        <n v="36.0"/>
        <n v="43.0"/>
        <n v="83.0"/>
        <n v="79.0"/>
        <n v="59.0"/>
        <n v="61.0"/>
        <n v="8.0"/>
        <n v="95.0"/>
        <n v="91.0"/>
        <n v="7.0"/>
        <n v="38.0"/>
        <n v="4.0"/>
        <n v="47.0"/>
        <n v="29.0"/>
        <n v="74.0"/>
        <n v="35.0"/>
        <n v="56.0"/>
        <n v="93.0"/>
        <n v="22.0"/>
        <n v="72.0"/>
        <n v="89.0"/>
        <n v="13.0"/>
        <n v="24.0"/>
        <n v="84.0"/>
        <n v="46.0"/>
        <n v="69.0"/>
        <n v="32.0"/>
        <n v="10.0"/>
        <n v="71.0"/>
        <n v="70.0"/>
        <n v="25.0"/>
        <n v="62.0"/>
        <n v="66.0"/>
        <n v="64.0"/>
        <n v="20.0"/>
        <n v="96.0"/>
        <n v="58.0"/>
        <n v="5.0"/>
        <n v="77.0"/>
        <n v="42.0"/>
        <n v="14.0"/>
        <n v="27.0"/>
        <n v="16.0"/>
        <n v="34.0"/>
        <n v="49.0"/>
        <n v="52.0"/>
        <n v="6.0"/>
        <n v="40.0"/>
        <n v="21.0"/>
        <n v="12.0"/>
        <n v="57.0"/>
        <n v="33.0"/>
        <n v="19.0"/>
        <n v="1.0"/>
        <n v="98.0"/>
        <n v="92.0"/>
        <n v="85.0"/>
        <n v="17.0"/>
        <n v="55.0"/>
        <n v="67.0"/>
        <n v="88.0"/>
        <n v="9.0"/>
        <n v="65.0"/>
        <n v="26.0"/>
        <n v="76.0"/>
        <n v="44.0"/>
        <n v="41.0"/>
        <n v="90.0"/>
        <n v="45.0"/>
        <n v="73.0"/>
        <n v="63.0"/>
        <n v="11.0"/>
        <n v="31.0"/>
        <n v="82.0"/>
        <n v="51.0"/>
        <n v="23.0"/>
        <n v="94.0"/>
        <n v="75.0"/>
        <n v="18.0"/>
        <n v="53.0"/>
        <n v="87.0"/>
        <n v="37.0"/>
      </sharedItems>
    </cacheField>
    <cacheField name="Nome cliente" numFmtId="0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0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49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</sharedItems>
    </cacheField>
    <cacheField name="Normalização dos Preços" numFmtId="164">
      <sharedItems containsSemiMixedTypes="0" containsString="0" containsNumber="1">
        <n v="9.296980371402253"/>
        <n v="52.29698037140225"/>
        <n v="20.686980371402253"/>
        <n v="38.736980371402254"/>
        <n v="16.956980371402253"/>
        <n v="10.946980371402251"/>
        <n v="23.526980371402253"/>
        <n v="45.736980371402254"/>
        <n v="64.38698037140225"/>
        <n v="55.67698037140225"/>
        <n v="25.98698037140225"/>
        <n v="77.93698037140224"/>
        <n v="29.186980371402253"/>
        <n v="9.906980371402252"/>
        <n v="22.026980371402253"/>
        <n v="19.406980371402252"/>
        <n v="68.73698037140224"/>
        <n v="15.256980371402253"/>
        <n v="34.95698037140225"/>
        <n v="11.496980371402252"/>
        <n v="37.92698037140225"/>
        <n v="48.40698037140225"/>
        <n v="31.276980371402253"/>
        <n v="39.17698037140225"/>
        <n v="9.116980371402251"/>
        <n v="69.25698037140225"/>
        <n v="73.47698037140225"/>
        <n v="46.35698037140225"/>
        <n v="10.256980371402252"/>
        <n v="14.126980371402253"/>
        <n v="53.696980371402255"/>
        <n v="35.16698037140225"/>
        <n v="9.286980371402251"/>
        <n v="36.626980371402254"/>
        <n v="71.41698037140225"/>
        <n v="77.25698037140225"/>
        <n v="20.546980371402253"/>
        <n v="2.1669803714022513"/>
        <n v="9.326980371402252"/>
        <n v="11.086980371402252"/>
        <n v="56.21698037140225"/>
        <n v="7.436980371402251"/>
        <n v="45.43698037140225"/>
        <n v="17.96698037140225"/>
        <n v="42.29698037140225"/>
        <n v="9.626980371402253"/>
        <n v="0.5469803714022514"/>
        <n v="40.78698037140225"/>
        <n v="9.166980371402252"/>
        <n v="40.95698037140225"/>
        <n v="62.29698037140225"/>
        <n v="27.666980371402254"/>
        <n v="27.37698037140225"/>
        <n v="25.71698037140225"/>
        <n v="54.266980371402255"/>
        <n v="75.13698037140225"/>
        <n v="11.516980371402251"/>
        <n v="26.386980371402252"/>
        <n v="32.04698037140225"/>
        <n v="36.70698037140225"/>
        <n v="1.1569803714022515"/>
        <n v="2.1369803714022515"/>
        <n v="30.85698037140225"/>
        <n v="12.436980371402251"/>
        <n v="40.63698037140225"/>
        <n v="44.95698037140225"/>
        <n v="3.6969803714022516"/>
        <n v="9.526980371402251"/>
        <n v="9.436980371402251"/>
        <n v="34.376980371402254"/>
        <n v="15.796980371402253"/>
        <n v="6.906980371402252"/>
        <n v="59.336980371402255"/>
        <n v="14.566980371402252"/>
        <n v="11.406980371402252"/>
        <n v="4.376980371402251"/>
        <n v="10.726980371402252"/>
        <n v="70.09698037140224"/>
        <n v="50.46698037140225"/>
        <n v="19.17698037140225"/>
        <n v="9.726980371402252"/>
        <n v="48.306980371402254"/>
        <n v="30.136980371402252"/>
        <n v="1.6169803714022515"/>
        <n v="38.29698037140225"/>
        <n v="30.19698037140225"/>
        <n v="10.766980371402251"/>
        <n v="31.25698037140225"/>
        <n v="10.876980371402253"/>
        <n v="7.896980371402252"/>
        <n v="17.55698037140225"/>
        <n v="9.706980371402253"/>
        <n v="36.72698037140225"/>
        <n v="29.19698037140225"/>
        <n v="2.256980371402251"/>
        <n v="52.43698037140225"/>
        <n v="2.8369803714022512"/>
        <n v="10.516980371402251"/>
        <n v="9.596980371402251"/>
        <n v="43.78698037140225"/>
        <n v="10.446980371402251"/>
        <n v="13.576980371402252"/>
        <n v="46.89698037140225"/>
        <n v="20.58698037140225"/>
        <n v="11.586980371402252"/>
        <n v="23.866980371402253"/>
        <n v="1.9469803714022516"/>
        <n v="46.16698037140225"/>
        <n v="6.5569803714022505"/>
        <n v="18.35698037140225"/>
        <n v="11.206980371402253"/>
        <n v="10.736980371402252"/>
        <n v="54.74698037140225"/>
        <n v="11.676980371402252"/>
        <n v="73.99698037140224"/>
        <n v="40.29698037140225"/>
        <n v="20.416980371402254"/>
        <n v="31.056980371402254"/>
        <n v="34.34698037140225"/>
        <n v="29.406980371402252"/>
        <n v="14.016980371402251"/>
        <n v="12.266980371402251"/>
        <n v="64.01698037140224"/>
        <n v="2.3769803714022513"/>
        <n v="11.566980371402252"/>
        <n v="41.84698037140225"/>
        <n v="15.55698037140225"/>
        <n v="12.476980371402252"/>
        <n v="36.556980371402254"/>
        <n v="1.3069803714022514"/>
        <n v="1.4169803714022513"/>
        <n v="11.486980371402252"/>
        <n v="13.976980371402252"/>
        <n v="27.166980371402254"/>
        <n v="37.196980371402255"/>
        <n v="72.98698037140224"/>
        <n v="60.09698037140225"/>
        <n v="13.136980371402252"/>
        <n v="26.73698037140225"/>
        <n v="18.566980371402252"/>
        <n v="32.65698037140225"/>
        <n v="68.29698037140224"/>
        <n v="11.926980371402252"/>
        <n v="1.3169803714022512"/>
        <n v="27.046980371402253"/>
        <n v="34.56698037140225"/>
        <n v="2.276980371402251"/>
        <n v="17.656980371402252"/>
        <n v="9.776980371402251"/>
        <n v="30.58698037140225"/>
        <n v="5.776980371402251"/>
        <n v="12.316980371402252"/>
        <n v="19.64698037140225"/>
        <n v="11.746980371402252"/>
        <n v="9.566980371402252"/>
        <n v="78.63698037140225"/>
        <n v="21.89698037140225"/>
        <n v="29.976980371402252"/>
        <n v="34.016980371402255"/>
        <n v="30.296980371402253"/>
        <n v="2.7869803714022514"/>
        <n v="20.23698037140225"/>
        <n v="76.00698037140225"/>
        <n v="9.736980371402252"/>
        <n v="13.896980371402252"/>
        <n v="20.82698037140225"/>
        <n v="14.106980371402251"/>
        <n v="59.67698037140225"/>
        <n v="29.316980371402252"/>
        <n v="30.67698037140225"/>
        <n v="59.43698037140225"/>
        <n v="3.2369803714022516"/>
        <n v="19.496980371402252"/>
        <n v="17.136980371402252"/>
        <n v="37.02698037140225"/>
        <n v="27.12698037140225"/>
        <n v="3.7469803714022514"/>
        <n v="0.9069803714022513"/>
        <n v="3.1069803714022517"/>
        <n v="55.806980371402254"/>
        <n v="39.516980371402255"/>
        <n v="60.736980371402254"/>
        <n v="16.64698037140225"/>
        <n v="12.556980371402252"/>
        <n v="44.31698037140225"/>
        <n v="4.3469803714022515"/>
        <n v="19.71698037140225"/>
        <n v="9.246980371402252"/>
        <n v="15.196980371402251"/>
        <n v="10.886980371402252"/>
        <n v="18.69698037140225"/>
        <n v="55.56698037140225"/>
        <n v="2.6669803714022513"/>
        <n v="35.27698037140225"/>
        <n v="15.536980371402251"/>
        <n v="56.90698037140225"/>
        <n v="2.4869803714022516"/>
        <n v="3.016980371402251"/>
        <n v="17.796980371402253"/>
        <n v="25.046980371402253"/>
        <n v="44.25698037140225"/>
        <n v="40.49698037140225"/>
        <n v="17.816980371402252"/>
        <n v="10.686980371402251"/>
        <n v="9.496980371402252"/>
        <n v="10.656980371402252"/>
        <n v="56.46698037140225"/>
        <n v="38.876980371402254"/>
        <n v="19.316980371402252"/>
        <n v="0.9569803714022513"/>
        <n v="15.046980371402253"/>
        <n v="12.016980371402251"/>
        <n v="8.676980371402252"/>
        <n v="24.62698037140225"/>
        <n v="24.26698037140225"/>
        <n v="24.526980371402253"/>
        <n v="12.716980371402252"/>
        <n v="13.776980371402251"/>
        <n v="12.736980371402252"/>
        <n v="23.69698037140225"/>
        <n v="9.306980371402252"/>
        <n v="14.516980371402251"/>
        <n v="13.476980371402252"/>
        <n v="18.156980371402252"/>
        <n v="32.986980371402254"/>
        <n v="32.07698037140225"/>
        <n v="11.506980371402252"/>
        <n v="39.70698037140225"/>
        <n v="39.696980371402255"/>
        <n v="13.866980371402251"/>
        <n v="52.266980371402255"/>
        <n v="3.4369803714022518"/>
        <n v="37.086980371402255"/>
        <n v="2.8569803714022513"/>
        <n v="26.85698037140225"/>
        <n v="45.47698037140225"/>
        <n v="75.15698037140224"/>
        <n v="9.236980371402252"/>
        <n v="12.776980371402251"/>
        <n v="13.746980371402252"/>
        <n v="35.00698037140225"/>
        <n v="18.28698037140225"/>
        <n v="0.6969803714022513"/>
        <n v="29.136980371402252"/>
        <n v="45.41698037140225"/>
        <n v="16.666980371402254"/>
        <n v="0.5369803714022514"/>
        <n v="18.226980371402252"/>
        <n v="33.53698037140225"/>
        <n v="66.04698037140224"/>
        <n v="35.02698037140225"/>
        <n v="38.65698037140225"/>
        <n v="11.996980371402252"/>
        <n v="55.43698037140225"/>
        <n v="16.33698037140225"/>
        <n v="8.196980371402251"/>
        <n v="15.726980371402252"/>
        <n v="29.046980371402253"/>
        <n v="10.246980371402252"/>
        <n v="11.436980371402251"/>
        <n v="11.666980371402252"/>
        <n v="4.216980371402251"/>
        <n v="28.08698037140225"/>
        <n v="1.3969803714022513"/>
        <n v="74.70698037140224"/>
        <n v="24.48698037140225"/>
        <n v="11.296980371402253"/>
        <n v="14.246980371402252"/>
        <n v="68.00698037140225"/>
        <n v="29.14698037140225"/>
        <n v="2.3669803714022515"/>
        <n v="1.2469803714022514"/>
        <n v="2.4469803714022516"/>
        <n v="11.366980371402251"/>
        <n v="33.47698037140225"/>
        <n v="35.46698037140225"/>
        <n v="25.85698037140225"/>
        <n v="13.316980371402252"/>
        <n v="9.866980371402251"/>
        <n v="1.0369803714022514"/>
        <n v="10.706980371402253"/>
        <n v="32.15698037140225"/>
        <n v="47.45698037140225"/>
        <n v="3.636980371402251"/>
        <n v="23.73698037140225"/>
        <n v="25.316980371402252"/>
        <n v="20.12698037140225"/>
        <n v="30.39698037140225"/>
        <n v="15.476980371402252"/>
        <n v="25.21698037140225"/>
        <n v="26.416980371402254"/>
        <n v="36.16698037140225"/>
        <n v="11.356980371402251"/>
        <n v="13.066980371402252"/>
        <n v="54.72698037140225"/>
        <n v="33.126980371402254"/>
        <n v="2.4769803714022514"/>
        <n v="1.1169803714022515"/>
        <n v="14.846980371402251"/>
        <n v="68.18698037140224"/>
        <n v="17.066980371402252"/>
        <n v="13.266980371402251"/>
        <n v="1.3869803714022515"/>
        <n v="56.196980371402255"/>
        <n v="53.75698037140225"/>
        <n v="1.2769803714022512"/>
        <n v="48.89698037140225"/>
        <n v="46.92698037140225"/>
        <n v="57.64698037140225"/>
        <n v="9.716980371402252"/>
        <n v="12.246980371402252"/>
        <n v="9.676980371402252"/>
        <n v="22.03698037140225"/>
        <n v="14.996980371402252"/>
        <n v="9.176980371402252"/>
        <n v="31.666980371402254"/>
        <n v="9.506980371402252"/>
        <n v="29.296980371402253"/>
        <n v="28.98698037140225"/>
        <n v="9.836980371402252"/>
        <n v="24.026980371402253"/>
        <n v="16.026980371402253"/>
        <n v="9.486980371402252"/>
        <n v="14.046980371402253"/>
        <n v="12.446980371402251"/>
        <n v="29.64698037140225"/>
        <n v="33.946980371402255"/>
        <n v="1.2569803714022512"/>
        <n v="4.136980371402251"/>
        <n v="24.67698037140225"/>
        <n v="27.17698037140225"/>
        <n v="70.26698037140224"/>
        <n v="17.346980371402253"/>
        <n v="17.35698037140225"/>
        <n v="79.27698037140225"/>
        <n v="15.87698037140225"/>
        <n v="40.986980371402254"/>
        <n v="37.75698037140225"/>
        <n v="9.186980371402251"/>
        <n v="37.13698037140225"/>
        <n v="18.186980371402253"/>
        <n v="17.39698037140225"/>
        <n v="9.456980371402253"/>
        <n v="39.016980371402255"/>
        <n v="27.476980371402252"/>
        <n v="29.776980371402253"/>
        <n v="13.516980371402251"/>
        <n v="68.62698037140224"/>
        <n v="46.63698037140225"/>
        <n v="13.346980371402251"/>
        <n v="56.766980371402255"/>
        <n v="29.83698037140225"/>
        <n v="16.246980371402252"/>
        <n v="36.486980371402254"/>
        <n v="19.57698037140225"/>
        <n v="7.736980371402252"/>
        <n v="28.80698037140225"/>
        <n v="11.346980371402251"/>
        <n v="10.756980371402252"/>
        <n v="48.10698037140225"/>
        <n v="17.526980371402253"/>
        <n v="11.176980371402252"/>
        <n v="21.046980371402253"/>
        <n v="14.896980371402252"/>
        <n v="39.38698037140225"/>
        <n v="35.60698037140225"/>
        <n v="38.61698037140225"/>
        <n v="3.8269803714022514"/>
        <n v="25.73698037140225"/>
        <n v="65.48698037140224"/>
        <n v="12.076980371402252"/>
        <n v="21.71698037140225"/>
        <n v="33.38698037140225"/>
        <n v="18.03698037140225"/>
        <n v="12.336980371402252"/>
        <n v="61.15698037140225"/>
        <n v="10.896980371402252"/>
        <n v="31.986980371402254"/>
        <n v="0.5969803714022515"/>
        <n v="11.056980371402252"/>
        <n v="14.406980371402252"/>
        <n v="32.446980371402255"/>
        <n v="4.356980371402251"/>
        <n v="20.006980371402253"/>
        <n v="18.256980371402253"/>
        <n v="33.21698037140225"/>
        <n v="38.00698037140225"/>
        <n v="11.776980371402251"/>
        <n v="14.716980371402252"/>
        <n v="2.566980371402251"/>
        <n v="11.106980371402251"/>
        <n v="27.956980371402253"/>
        <n v="19.60698037140225"/>
        <n v="1.0469803714022512"/>
        <n v="24.42698037140225"/>
        <n v="1.3269803714022514"/>
        <n v="39.57698037140225"/>
        <n v="11.696980371402251"/>
        <n v="36.806980371402254"/>
        <n v="13.506980371402252"/>
        <n v="13.646980371402252"/>
        <n v="10.926980371402252"/>
        <n v="35.40698037140225"/>
        <n v="13.906980371402252"/>
        <n v="50.196980371402255"/>
        <n v="21.096980371402253"/>
        <n v="59.876980371402254"/>
        <n v="2.9769803714022514"/>
        <n v="79.03698037140225"/>
        <n v="49.89698037140225"/>
        <n v="27.94698037140225"/>
        <n v="28.03698037140225"/>
        <n v="40.03698037140225"/>
        <n v="2.6369803714022515"/>
        <n v="38.92698037140225"/>
        <n v="61.34698037140225"/>
        <n v="43.946980371402255"/>
        <n v="10.916980371402252"/>
        <n v="29.116980371402253"/>
        <n v="12.596980371402251"/>
        <n v="32.806980371402254"/>
        <n v="18.92698037140225"/>
        <n v="38.74698037140225"/>
        <n v="38.236980371402254"/>
        <n v="74.12698037140224"/>
        <n v="25.53698037140225"/>
        <n v="32.16698037140225"/>
        <n v="39.45698037140225"/>
        <n v="2.7469803714022514"/>
        <n v="31.236980371402254"/>
        <n v="31.816980371402252"/>
        <n v="22.096980371402253"/>
        <n v="27.406980371402252"/>
        <n v="9.756980371402252"/>
        <n v="19.28698037140225"/>
        <n v="14.116980371402251"/>
        <n v="62.806980371402254"/>
        <n v="29.08698037140225"/>
        <n v="47.92698037140225"/>
        <n v="30.206980371402253"/>
        <n v="39.47698037140225"/>
        <n v="28.546980371402253"/>
        <n v="25.01698037140225"/>
        <n v="11.306980371402252"/>
        <n v="60.77698037140225"/>
        <n v="11.966980371402252"/>
        <n v="20.436980371402253"/>
        <n v="34.336980371402255"/>
        <n v="35.97698037140225"/>
        <n v="43.32698037140225"/>
        <n v="52.446980371402255"/>
        <n v="22.21698037140225"/>
        <n v="59.35698037140225"/>
        <n v="0.7569803714022514"/>
        <n v="4.316980371402252"/>
        <n v="47.32698037140225"/>
        <n v="71.28698037140225"/>
        <n v="28.05698037140225"/>
        <n v="46.75698037140225"/>
        <n v="28.296980371402253"/>
        <n v="13.716980371402252"/>
        <n v="26.46698037140225"/>
        <n v="68.46698037140224"/>
        <n v="11.606980371402251"/>
        <n v="10.536980371402251"/>
        <n v="12.326980371402252"/>
        <n v="16.53698037140225"/>
        <n v="13.626980371402253"/>
        <n v="10.556980371402252"/>
        <n v="55.68698037140225"/>
        <n v="26.28698037140225"/>
        <n v="32.93698037140225"/>
        <n v="60.06698037140225"/>
        <n v="25.416980371402254"/>
        <n v="4.3069803714022505"/>
        <n v="0.48698037140225137"/>
        <n v="22.656980371402252"/>
        <n v="9.406980371402252"/>
        <n v="7.9269803714022515"/>
        <n v="12.466980371402252"/>
        <n v="3.6169803714022515"/>
        <n v="13.486980371402252"/>
        <n v="21.636980371402252"/>
        <n v="0.7869803714022514"/>
        <n v="32.88698037140225"/>
        <n v="9.646980371402252"/>
        <n v="12.786980371402251"/>
        <n v="36.376980371402254"/>
        <n v="28.10698037140225"/>
        <n v="9.466980371402252"/>
        <n v="32.376980371402254"/>
        <n v="12.166980371402252"/>
        <n v="50.89698037140225"/>
        <n v="26.316980371402252"/>
        <n v="47.15698037140225"/>
        <n v="9.896980371402252"/>
        <n v="9.336980371402252"/>
        <n v="18.73698037140225"/>
        <n v="16.01698037140225"/>
        <n v="12.796980371402253"/>
        <n v="77.90698037140224"/>
        <n v="13.416980371402252"/>
        <n v="15.846980371402253"/>
        <n v="23.066980371402252"/>
        <n v="55.86698037140225"/>
        <n v="10.796980371402253"/>
        <n v="13.076980371402252"/>
        <n v="60.53698037140225"/>
        <n v="24.096980371402253"/>
        <n v="67.99698037140224"/>
        <n v="2.9069803714022515"/>
        <n v="13.336980371402252"/>
        <n v="34.00698037140225"/>
        <n v="37.53698037140225"/>
        <n v="59.16698037140225"/>
        <n v="25.666980371402254"/>
        <n v="58.57698037140225"/>
        <n v="40.266980371402255"/>
        <n v="29.006980371402253"/>
        <n v="53.67698037140225"/>
        <n v="48.66698037140225"/>
        <n v="30.506980371402253"/>
        <n v="12.526980371402251"/>
        <n v="10.606980371402251"/>
        <n v="23.316980371402252"/>
        <n v="41.336980371402255"/>
        <n v="36.22698037140225"/>
        <n v="15.546980371402253"/>
        <n v="6.606980371402251"/>
        <n v="16.51698037140225"/>
        <n v="13.526980371402251"/>
        <n v="14.396980371402252"/>
        <n v="59.59698037140225"/>
        <n v="9.066980371402252"/>
        <n v="14.146980371402252"/>
        <n v="15.446980371402251"/>
        <n v="46.56698037140225"/>
        <n v="34.06698037140225"/>
        <n v="1.5169803714022514"/>
        <n v="16.23698037140225"/>
        <n v="10.476980371402252"/>
        <n v="25.80698037140225"/>
        <n v="23.906980371402252"/>
        <n v="27.58698037140225"/>
        <n v="37.38698037140225"/>
        <n v="73.73698037140224"/>
        <n v="2.2069803714022513"/>
        <n v="11.316980371402252"/>
        <n v="55.46698037140225"/>
        <n v="17.316980371402252"/>
        <n v="30.496980371402252"/>
        <n v="68.57698037140224"/>
        <n v="11.976980371402252"/>
        <n v="46.03698037140225"/>
        <n v="65.34698037140224"/>
        <n v="15.606980371402251"/>
        <n v="66.64698037140225"/>
        <n v="13.386980371402252"/>
        <n v="28.886980371402252"/>
        <n v="1.3369803714022512"/>
        <n v="24.89698037140225"/>
        <n v="35.71698037140225"/>
        <n v="51.70698037140225"/>
        <n v="39.65698037140225"/>
        <n v="2.3469803714022515"/>
        <n v="0.47698037140225136"/>
        <n v="22.616980371402253"/>
        <n v="10.976980371402252"/>
        <n v="2.6769803714022515"/>
        <n v="52.556980371402254"/>
        <n v="13.236980371402252"/>
        <n v="2.3869803714022515"/>
        <n v="46.90698037140225"/>
        <n v="30.116980371402253"/>
        <n v="40.60698037140225"/>
        <n v="37.71698037140225"/>
        <n v="3.266980371402251"/>
        <n v="2.2269803714022514"/>
        <n v="10.956980371402253"/>
        <n v="11.036980371402251"/>
        <n v="58.16698037140225"/>
        <n v="36.66698037140225"/>
        <n v="18.026980371402253"/>
        <n v="67.35698037140224"/>
        <n v="50.99698037140225"/>
        <n v="10.676980371402252"/>
        <n v="12.396980371402252"/>
        <n v="24.616980371402253"/>
        <n v="40.446980371402255"/>
        <n v="46.65698037140225"/>
        <n v="11.916980371402252"/>
        <n v="18.17698037140225"/>
        <n v="11.716980371402252"/>
        <n v="17.32698037140225"/>
        <n v="14.156980371402252"/>
        <n v="12.756980371402252"/>
        <n v="61.28698037140225"/>
        <n v="20.956980371402253"/>
        <n v="34.59698037140225"/>
        <n v="31.166980371402254"/>
        <n v="18.37698037140225"/>
        <n v="45.89698037140225"/>
        <n v="9.346980371402251"/>
        <n v="14.726980371402252"/>
        <n v="16.28698037140225"/>
        <n v="13.446980371402251"/>
        <n v="38.36698037140225"/>
        <n v="57.18698037140225"/>
        <n v="7.156980371402252"/>
        <n v="31.11698037140225"/>
        <n v="58.39698037140225"/>
        <n v="9.546980371402253"/>
        <n v="32.82698037140225"/>
        <n v="53.71698037140225"/>
        <n v="31.496980371402252"/>
        <n v="11.806980371402252"/>
        <n v="14.316980371402252"/>
        <n v="13.426980371402252"/>
        <n v="32.95698037140225"/>
        <n v="9.686980371402251"/>
        <n v="74.93698037140224"/>
        <n v="63.946980371402255"/>
        <n v="70.00698037140225"/>
        <n v="40.02698037140225"/>
        <n v="45.31698037140225"/>
        <n v="40.626980371402254"/>
        <n v="10.546980371402253"/>
        <n v="9.766980371402251"/>
        <n v="50.306980371402254"/>
        <n v="3.096980371402251"/>
        <n v="9.806980371402252"/>
        <n v="22.89698037140225"/>
        <n v="31.706980371402253"/>
        <n v="21.746980371402252"/>
        <n v="10.826980371402252"/>
        <n v="48.96698037140225"/>
        <n v="13.216980371402252"/>
        <n v="21.916980371402254"/>
        <n v="20.32698037140225"/>
        <n v="1.5469803714022512"/>
        <n v="2.8969803714022513"/>
        <n v="38.03698037140225"/>
        <n v="40.66698037140225"/>
        <n v="32.86698037140225"/>
        <n v="34.236980371402254"/>
        <n v="11.896980371402252"/>
        <n v="63.87698037140225"/>
        <n v="11.026980371402251"/>
        <n v="13.956980371402253"/>
        <n v="45.39698037140225"/>
        <n v="30.98698037140225"/>
        <n v="8.926980371402252"/>
        <n v="63.89698037140226"/>
        <n v="30.23698037140225"/>
        <n v="45.35698037140225"/>
        <n v="22.37698037140225"/>
        <n v="11.946980371402251"/>
        <n v="66.92698037140225"/>
        <n v="0.3869803714022513"/>
        <n v="20.17698037140225"/>
        <n v="51.14698037140225"/>
        <n v="1.8669803714022515"/>
        <n v="37.85698037140225"/>
        <n v="17.78698037140225"/>
        <n v="0.5169803714022514"/>
        <n v="11.886980371402252"/>
        <n v="1.1669803714022513"/>
        <n v="29.246980371402252"/>
        <n v="41.17698037140225"/>
        <n v="15.316980371402252"/>
        <n v="16.366980371402253"/>
        <n v="23.346980371402253"/>
        <n v="25.566980371402252"/>
        <n v="38.40698037140225"/>
        <n v="22.67698037140225"/>
        <n v="45.57698037140225"/>
        <n v="27.19698037140225"/>
        <n v="31.53698037140225"/>
        <n v="49.946980371402255"/>
        <n v="31.316980371402252"/>
        <n v="64.26698037140224"/>
        <n v="3.1169803714022515"/>
        <n v="43.336980371402255"/>
        <n v="49.21698037140225"/>
        <n v="14.796980371402253"/>
        <n v="28.51698037140225"/>
        <n v="11.616980371402251"/>
        <n v="29.416980371402254"/>
        <n v="1.4369803714022513"/>
        <n v="37.56698037140225"/>
        <n v="29.80698037140225"/>
        <n v="26.33698037140225"/>
        <n v="29.17698037140225"/>
        <n v="15.46698037140225"/>
        <n v="32.64698037140225"/>
        <n v="28.776980371402253"/>
        <n v="31.68698037140225"/>
        <n v="68.51698037140224"/>
        <n v="17.616980371402253"/>
        <n v="45.54698037140225"/>
        <n v="1.4669803714022516"/>
        <n v="11.466980371402252"/>
        <n v="76.04698037140224"/>
        <n v="11.546980371402253"/>
        <n v="38.57698037140225"/>
        <n v="9.416980371402252"/>
        <n v="1.4969803714022514"/>
        <n v="26.26698037140225"/>
        <n v="25.206980371402253"/>
        <n v="33.79698037140225"/>
        <n v="36.02698037140225"/>
        <n v="36.236980371402254"/>
        <n v="28.19698037140225"/>
        <n v="41.196980371402255"/>
        <n v="7.976980371402252"/>
        <n v="37.47698037140225"/>
        <n v="15.296980371402253"/>
        <n v="64.18698037140224"/>
        <n v="26.616980371402253"/>
        <n v="23.776980371402253"/>
        <n v="16.136980371402252"/>
        <n v="31.096980371402253"/>
        <n v="54.96698037140225"/>
        <n v="10.646980371402252"/>
        <n v="38.46698037140225"/>
        <n v="15.506980371402253"/>
        <n v="23.726980371402252"/>
        <n v="14.866980371402251"/>
        <n v="15.32698037140225"/>
        <n v="9.826980371402252"/>
        <n v="37.90698037140225"/>
        <n v="26.886980371402252"/>
        <n v="9.996980371402252"/>
        <n v="55.586980371402255"/>
        <n v="13.006980371402252"/>
        <n v="1.5369803714022514"/>
        <n v="35.61698037140225"/>
        <n v="1.7369803714022516"/>
        <n v="11.706980371402253"/>
        <n v="12.826980371402252"/>
        <n v="43.67698037140225"/>
        <n v="28.60698037140225"/>
        <n v="10.226980371402252"/>
        <n v="47.78698037140225"/>
        <n v="17.71698037140225"/>
        <n v="2.7269803714022514"/>
        <n v="35.806980371402254"/>
        <n v="59.54698037140225"/>
        <n v="1.8069803714022514"/>
        <n v="9.586980371402252"/>
        <n v="38.79698037140225"/>
        <n v="1.7069803714022513"/>
        <n v="17.636980371402252"/>
        <n v="3.6069803714022517"/>
        <n v="20.46698037140225"/>
        <n v="14.506980371402252"/>
        <n v="9.746980371402252"/>
        <n v="50.34698037140225"/>
        <n v="15.566980371402252"/>
        <n v="1.8469803714022515"/>
        <n v="67.75698037140225"/>
        <n v="46.72698037140225"/>
        <n v="11.046980371402253"/>
        <n v="9.426980371402252"/>
        <n v="13.656980371402252"/>
        <n v="11.096980371402251"/>
        <n v="2.7069803714022513"/>
        <n v="18.71698037140225"/>
        <n v="14.076980371402252"/>
        <n v="13.946980371402251"/>
        <n v="39.49698037140225"/>
        <n v="2.3269803714022514"/>
        <n v="9.536980371402251"/>
        <n v="15.62698037140225"/>
        <n v="19.12698037140225"/>
        <n v="36.93698037140225"/>
        <n v="18.906980371402252"/>
        <n v="55.27698037140225"/>
        <n v="13.766980371402251"/>
        <n v="15.516980371402251"/>
        <n v="6.466980371402251"/>
        <n v="61.736980371402254"/>
        <n v="37.40698037140225"/>
        <n v="20.366980371402253"/>
        <n v="59.016980371402255"/>
        <n v="12.946980371402251"/>
        <n v="10.176980371402252"/>
        <n v="65.79698037140224"/>
        <n v="10.776980371402251"/>
        <n v="17.51698037140225"/>
        <n v="10.626980371402253"/>
        <n v="11.326980371402252"/>
        <n v="18.096980371402253"/>
        <n v="32.32698037140225"/>
        <n v="13.796980371402253"/>
        <n v="21.96698037140225"/>
        <n v="13.826980371402252"/>
        <n v="40.876980371402254"/>
        <n v="18.21698037140225"/>
        <n v="12.696980371402251"/>
        <n v="13.876980371402253"/>
        <n v="41.03698037140225"/>
        <n v="39.25698037140225"/>
        <n v="34.99698037140225"/>
        <n v="3.9369803714022518"/>
        <n v="0.7069803714022513"/>
        <n v="14.026980371402251"/>
        <n v="10.836980371402252"/>
        <n v="36.56698037140225"/>
        <n v="16.386980371402252"/>
        <n v="4.396980371402252"/>
        <n v="36.336980371402255"/>
        <n v="16.62698037140225"/>
        <n v="31.40698037140225"/>
        <n v="31.916980371402254"/>
        <n v="12.686980371402251"/>
        <n v="36.82698037140225"/>
        <n v="24.78698037140225"/>
        <n v="13.046980371402253"/>
        <n v="30.226980371402252"/>
        <n v="11.166980371402252"/>
        <n v="12.206980371402253"/>
        <n v="34.78698037140225"/>
        <n v="2.8269803714022514"/>
        <n v="14.666980371402252"/>
        <n v="2.776980371402251"/>
        <n v="19.156980371402252"/>
        <n v="2.0369803714022514"/>
        <n v="2.5769803714022514"/>
        <n v="76.29698037140224"/>
        <n v="11.456980371402253"/>
        <n v="61.056980371402254"/>
        <n v="35.50698037140225"/>
        <n v="18.816980371402252"/>
        <n v="49.696980371402255"/>
        <n v="31.21698037140225"/>
        <n v="5.8469803714022515"/>
        <n v="28.21698037140225"/>
        <n v="14.706980371402253"/>
        <n v="50.06698037140225"/>
        <n v="21.436980371402253"/>
        <n v="28.636980371402252"/>
        <n v="13.326980371402252"/>
        <n v="14.096980371402251"/>
        <n v="15.206980371402253"/>
        <n v="19.76698037140225"/>
        <n v="9.476980371402252"/>
        <n v="3.2469803714022514"/>
        <n v="0.4069803714022513"/>
        <n v="26.936980371402253"/>
        <n v="22.28698037140225"/>
        <n v="62.77698037140225"/>
        <n v="13.966980371402252"/>
        <n v="32.52698037140225"/>
        <n v="2.8469803714022515"/>
        <n v="2.9569803714022513"/>
        <n v="32.85698037140225"/>
        <n v="18.746980371402252"/>
        <n v="12.586980371402252"/>
        <n v="35.13698037140225"/>
        <n v="7.266980371402251"/>
        <n v="19.69698037140225"/>
        <n v="31.36698037140225"/>
        <n v="16.066980371402252"/>
        <n v="69.08698037140225"/>
        <n v="7.496980371402252"/>
        <n v="31.086980371402255"/>
        <n v="20.53698037140225"/>
        <n v="27.226980371402252"/>
        <n v="55.486980371402254"/>
        <n v="25.87698037140225"/>
        <n v="34.97698037140225"/>
        <n v="33.72698037140225"/>
        <n v="18.67698037140225"/>
        <n v="10.306980371402252"/>
        <n v="16.07698037140225"/>
        <n v="20.046980371402253"/>
        <n v="32.61698037140225"/>
        <n v="74.40698037140224"/>
        <n v="58.29698037140225"/>
        <n v="9.666980371402252"/>
        <n v="22.976980371402252"/>
        <n v="41.78698037140225"/>
        <n v="18.636980371402252"/>
        <n v="20.73698037140225"/>
        <n v="28.456980371402253"/>
        <n v="69.03698037140225"/>
        <n v="30.096980371402253"/>
        <n v="0.2969803714022514"/>
        <n v="12.966980371402252"/>
        <n v="59.52698037140225"/>
        <n v="3.296980371402251"/>
        <n v="64.53698037140225"/>
        <n v="12.836980371402252"/>
        <n v="28.30698037140225"/>
        <n v="15.916980371402254"/>
        <n v="17.62698037140225"/>
        <n v="33.10698037140225"/>
        <n v="2.5369803714022514"/>
        <n v="3.556980371402251"/>
        <n v="37.946980371402255"/>
        <n v="39.27698037140225"/>
        <n v="53.63698037140225"/>
        <n v="38.90698037140225"/>
        <n v="30.07698037140225"/>
        <n v="39.92698037140225"/>
        <n v="9.256980371402252"/>
        <n v="23.816980371402252"/>
        <n v="40.56698037140225"/>
        <n v="3.7869803714022514"/>
        <n v="15.426980371402252"/>
        <n v="11.396980371402252"/>
        <n v="9.926980371402252"/>
        <n v="33.59698037140225"/>
        <n v="39.39698037140225"/>
        <n v="32.50698037140225"/>
        <n v="68.61698037140225"/>
        <n v="19.96698037140225"/>
        <n v="9.206980371402253"/>
        <n v="12.236980371402252"/>
        <n v="10.496980371402252"/>
        <n v="3.176980371402251"/>
        <n v="40.75698037140225"/>
        <n v="0.6669803714022513"/>
        <n v="11.256980371402252"/>
        <n v="1.3769803714022513"/>
        <n v="35.03698037140225"/>
        <n v="35.126980371402254"/>
        <n v="21.656980371402252"/>
        <n v="14.886980371402252"/>
        <n v="1.9269803714022515"/>
        <n v="9.986980371402252"/>
        <n v="1.4869803714022516"/>
        <n v="11.226980371402252"/>
        <n v="37.57698037140225"/>
        <n v="62.54698037140225"/>
        <n v="2.2169803714022516"/>
        <n v="67.55698037140225"/>
        <n v="59.736980371402254"/>
        <n v="51.24698037140225"/>
        <n v="15.586980371402252"/>
        <n v="7.516980371402251"/>
        <n v="57.766980371402255"/>
        <n v="42.52698037140225"/>
        <n v="77.33698037140225"/>
        <n v="19.44698037140225"/>
        <n v="55.71698037140225"/>
        <n v="47.36698037140225"/>
        <n v="10.186980371402251"/>
        <n v="29.01698037140225"/>
        <n v="21.14698037140225"/>
        <n v="20.456980371402253"/>
        <n v="10.026980371402251"/>
        <n v="35.25698037140225"/>
        <n v="61.54698037140225"/>
        <n v="31.67698037140225"/>
        <n v="35.53698037140225"/>
        <n v="48.72698037140225"/>
        <n v="23.976980371402252"/>
        <n v="38.016980371402255"/>
        <n v="60.20698037140225"/>
        <n v="26.166980371402254"/>
        <n v="52.13698037140225"/>
        <n v="16.60698037140225"/>
        <n v="40.086980371402255"/>
        <n v="13.106980371402251"/>
        <n v="34.626980371402254"/>
        <n v="13.126980371402253"/>
        <n v="0.9269803714022513"/>
        <n v="30.636980371402252"/>
        <n v="38.56698037140225"/>
        <n v="1.5769803714022514"/>
        <n v="31.78698037140225"/>
        <n v="31.47698037140225"/>
        <n v="12.356980371402251"/>
        <n v="6.156980371402252"/>
        <n v="13.146980371402252"/>
        <n v="13.996980371402252"/>
        <n v="12.256980371402252"/>
        <n v="11.636980371402252"/>
        <n v="16.87698037140225"/>
        <n v="65.63698037140225"/>
        <n v="39.236980371402254"/>
        <n v="9.516980371402251"/>
        <n v="33.17698037140225"/>
        <n v="10.156980371402252"/>
        <n v="33.99698037140225"/>
        <n v="11.626980371402253"/>
        <n v="1.8369803714022512"/>
        <n v="17.416980371402254"/>
        <n v="27.846980371402253"/>
        <n v="49.84698037140225"/>
        <n v="16.48698037140225"/>
        <n v="14.136980371402252"/>
        <n v="2.2469803714022514"/>
        <n v="14.756980371402252"/>
        <n v="12.406980371402252"/>
        <n v="2.1769803714022515"/>
        <n v="42.626980371402254"/>
        <n v="2.0569803714022514"/>
        <n v="13.156980371402252"/>
        <n v="11.866980371402251"/>
        <n v="54.89698037140225"/>
        <n v="36.14698037140225"/>
        <n v="38.28698037140225"/>
        <n v="22.186980371402253"/>
        <n v="14.646980371402252"/>
        <n v="10.586980371402252"/>
        <n v="20.03698037140225"/>
        <n v="63.93698037140225"/>
        <n v="10.846980371402251"/>
        <n v="29.756980371402253"/>
        <n v="4.336980371402252"/>
        <n v="9.156980371402252"/>
        <n v="28.82698037140225"/>
        <n v="35.45698037140225"/>
        <n v="13.556980371402252"/>
        <n v="15.356980371402251"/>
        <n v="17.886980371402252"/>
        <n v="39.84698037140225"/>
        <n v="25.57698037140225"/>
        <n v="16.416980371402254"/>
        <n v="2.6569803714022515"/>
        <n v="28.746980371402252"/>
        <n v="3.9969803714022514"/>
        <n v="44.15698037140225"/>
        <n v="28.866980371402253"/>
        <n v="3.3769803714022513"/>
        <n v="26.42698037140225"/>
        <n v="9.136980371402252"/>
        <n v="67.29698037140224"/>
        <n v="10.616980371402251"/>
        <n v="45.28698037140225"/>
        <n v="31.026980371402253"/>
        <n v="20.85698037140225"/>
        <n v="13.016980371402251"/>
        <n v="57.49698037140225"/>
        <n v="2.1869803714022513"/>
        <n v="12.226980371402252"/>
        <n v="46.876980371402254"/>
        <n v="9.556980371402252"/>
        <n v="15.766980371402251"/>
        <n v="33.36698037140225"/>
        <n v="25.46698037140225"/>
        <n v="45.97698037140225"/>
        <n v="62.17698037140225"/>
        <n v="31.386980371402252"/>
        <n v="16.686980371402253"/>
        <n v="18.166980371402254"/>
        <n v="71.36698037140225"/>
        <n v="63.39698037140226"/>
        <n v="26.866980371402253"/>
        <n v="14.876980371402253"/>
        <n v="28.78698037140225"/>
        <n v="18.726980371402252"/>
        <n v="2.6069803714022513"/>
        <n v="11.066980371402252"/>
        <n v="11.286980371402251"/>
        <n v="58.49698037140225"/>
        <n v="28.416980371402254"/>
        <n v="49.66698037140225"/>
        <n v="20.83698037140225"/>
        <n v="28.506980371402253"/>
        <n v="58.81698037140225"/>
        <n v="3.056980371402251"/>
        <n v="20.746980371402252"/>
        <n v="18.83698037140225"/>
        <n v="18.526980371402253"/>
        <n v="13.436980371402251"/>
        <n v="17.666980371402254"/>
        <n v="38.85698037140225"/>
        <n v="47.236980371402254"/>
        <n v="13.786980371402251"/>
        <n v="24.51698037140225"/>
        <n v="26.366980371402253"/>
        <n v="25.76698037140225"/>
        <n v="10.106980371402251"/>
        <n v="27.30698037140225"/>
        <n v="26.816980371402252"/>
        <n v="33.54698037140225"/>
        <n v="31.636980371402252"/>
        <n v="40.31698037140225"/>
        <n v="73.67698037140225"/>
        <n v="12.656980371402252"/>
        <n v="61.24698037140225"/>
        <n v="1.6069803714022513"/>
        <n v="46.60698037140225"/>
        <n v="64.13698037140225"/>
        <n v="10.286980371402251"/>
        <n v="34.13698037140225"/>
        <n v="19.226980371402252"/>
        <n v="25.12698037140225"/>
        <n v="27.546980371402253"/>
        <n v="30.596980371402253"/>
        <n v="14.916980371402252"/>
        <n v="50.696980371402255"/>
        <n v="8.996980371402252"/>
        <n v="34.85698037140225"/>
        <n v="56.96698037140225"/>
        <n v="52.86698037140225"/>
        <n v="1.9569803714022513"/>
        <n v="30.276980371402253"/>
        <n v="9.266980371402251"/>
        <n v="11.186980371402251"/>
        <n v="30.436980371402253"/>
        <n v="26.21698037140225"/>
        <n v="19.686980371402253"/>
        <n v="67.88698037140225"/>
        <n v="28.936980371402253"/>
        <n v="33.27698037140225"/>
        <n v="22.796980371402253"/>
        <n v="51.00698037140225"/>
        <n v="21.406980371402252"/>
        <n v="18.686980371402253"/>
        <n v="13.926980371402252"/>
        <n v="3.346980371402251"/>
        <n v="31.43698037140225"/>
        <n v="6.0969803714022515"/>
        <n v="40.79698037140225"/>
        <n v="31.556980371402254"/>
        <n v="27.656980371402252"/>
        <n v="53.196980371402255"/>
        <n v="70.79698037140224"/>
        <n v="16.76698037140225"/>
        <n v="43.266980371402255"/>
        <n v="13.846980371402251"/>
        <n v="0.3669803714022515"/>
        <n v="1.1869803714022513"/>
        <n v="11.476980371402252"/>
        <n v="38.516980371402255"/>
        <n v="2.316980371402251"/>
        <n v="25.026980371402253"/>
        <n v="42.56698037140225"/>
        <n v="0.3569803714022515"/>
        <n v="33.22698037140225"/>
        <n v="27.64698037140225"/>
        <n v="11.856980371402251"/>
        <n v="3.796980371402251"/>
        <n v="53.35698037140225"/>
        <n v="17.506980371402253"/>
        <n v="19.546980371402253"/>
        <n v="14.446980371402251"/>
        <n v="39.336980371402255"/>
        <n v="52.36698037140225"/>
        <n v="26.776980371402253"/>
        <n v="43.92698037140225"/>
        <n v="25.116980371402253"/>
        <n v="4.236980371402252"/>
        <n v="30.756980371402253"/>
        <n v="63.52698037140225"/>
        <n v="12.146980371402252"/>
        <n v="18.596980371402253"/>
        <n v="58.626980371402254"/>
        <n v="27.136980371402252"/>
        <n v="23.85698037140225"/>
        <n v="50.68698037140225"/>
        <n v="28.096980371402253"/>
        <n v="3.3269803714022514"/>
        <n v="1.0669803714022512"/>
        <n v="31.64698037140225"/>
        <n v="54.68698037140225"/>
        <n v="14.906980371402252"/>
        <n v="18.496980371402252"/>
        <n v="13.166980371402252"/>
        <n v="24.386980371402252"/>
        <n v="45.81698037140225"/>
        <n v="48.06698037140225"/>
        <n v="71.00698037140225"/>
        <n v="11.596980371402251"/>
        <n v="1.5869803714022512"/>
        <n v="10.006980371402252"/>
        <n v="11.836980371402252"/>
        <n v="8.516980371402251"/>
        <n v="19.346980371402253"/>
        <n v="57.53698037140225"/>
        <n v="8.286980371402251"/>
        <n v="50.49698037140225"/>
        <n v="3.3569803714022517"/>
        <n v="36.13698037140225"/>
        <n v="30.57698037140225"/>
        <n v="31.266980371402255"/>
        <n v="41.85698037140225"/>
        <n v="3.5369803714022514"/>
        <n v="21.05698037140225"/>
        <n v="15.37698037140225"/>
        <n v="76.93698037140224"/>
        <n v="2.6969803714022516"/>
        <n v="22.166980371402254"/>
        <n v="54.14698037140225"/>
        <n v="2.5969803714022515"/>
        <n v="14.616980371402251"/>
        <n v="4.406980371402252"/>
        <n v="38.18698037140225"/>
        <n v="20.89698037140225"/>
        <n v="1.8269803714022514"/>
        <n v="4.296980371402251"/>
        <n v="33.60698037140225"/>
        <n v="33.46698037140225"/>
        <n v="12.846980371402251"/>
        <n v="3.306980371402251"/>
        <n v="14.576980371402252"/>
        <n v="75.28698037140225"/>
        <n v="34.766980371402255"/>
        <n v="9.376980371402253"/>
        <n v="55.91698037140225"/>
        <n v="0.4269803714022513"/>
        <n v="32.67698037140225"/>
        <n v="35.81698037140225"/>
        <n v="11.536980371402251"/>
        <n v="17.006980371402253"/>
        <n v="32.53698037140225"/>
        <n v="15.48698037140225"/>
        <n v="33.77698037140225"/>
        <n v="46.13698037140225"/>
        <n v="30.33698037140225"/>
        <n v="12.666980371402252"/>
        <n v="21.58698037140225"/>
        <n v="27.80698037140225"/>
        <n v="14.656980371402252"/>
        <n v="16.936980371402253"/>
        <n v="17.296980371402253"/>
        <n v="21.32698037140225"/>
        <n v="72.15698037140224"/>
        <n v="35.836980371402255"/>
        <n v="11.126980371402253"/>
        <n v="29.936980371402253"/>
        <n v="0.7769803714022514"/>
        <n v="52.65698037140225"/>
        <n v="27.67698037140225"/>
        <n v="13.806980371402252"/>
        <n v="27.596980371402253"/>
        <n v="39.81698037140225"/>
        <n v="38.41698037140225"/>
        <n v="2.3969803714022513"/>
        <n v="3.5869803714022512"/>
        <n v="2.8869803714022515"/>
        <n v="54.40698037140225"/>
        <n v="31.89698037140225"/>
        <n v="37.836980371402255"/>
        <n v="39.20698037140225"/>
        <n v="15.946980371402251"/>
        <n v="27.866980371402253"/>
        <n v="55.79698037140225"/>
        <n v="28.436980371402253"/>
        <n v="2.4069803714022515"/>
        <n v="30.616980371402253"/>
        <n v="59.82698037140225"/>
        <n v="62.18698037140225"/>
        <n v="41.18698037140225"/>
        <n v="10.086980371402252"/>
        <n v="35.68698037140225"/>
        <n v="16.546980371402253"/>
        <n v="40.40698037140225"/>
        <n v="1.4269803714022515"/>
        <n v="24.006980371402253"/>
        <n v="14.006980371402252"/>
        <n v="33.696980371402255"/>
        <n v="14.976980371402252"/>
        <n v="14.066980371402252"/>
        <n v="47.84698037140225"/>
        <n v="10.696980371402251"/>
        <n v="57.93698037140225"/>
        <n v="13.206980371402253"/>
        <n v="33.15698037140225"/>
        <n v="15.366980371402253"/>
        <n v="37.64698037140225"/>
        <n v="21.01698037140225"/>
        <n v="17.21698037140225"/>
        <n v="53.77698037140225"/>
        <n v="68.21698037140224"/>
        <n v="1.5669803714022512"/>
        <n v="0.8369803714022515"/>
        <n v="14.196980371402251"/>
        <n v="16.906980371402252"/>
        <n v="14.086980371402252"/>
        <n v="40.13698037140225"/>
        <n v="65.91698037140225"/>
        <n v="14.736980371402252"/>
        <n v="33.336980371402255"/>
        <n v="1.4469803714022516"/>
        <n v="62.876980371402254"/>
        <n v="2.026980371402251"/>
        <n v="31.54698037140225"/>
        <n v="9.636980371402252"/>
        <n v="24.58698037140225"/>
        <n v="1.6969803714022516"/>
        <n v="74.55698037140225"/>
        <n v="1.9369803714022513"/>
        <n v="15.456980371402253"/>
        <n v="10.746980371402252"/>
        <n v="35.266980371402255"/>
        <n v="1.6769803714022515"/>
        <n v="48.67698037140225"/>
        <n v="12.626980371402253"/>
        <n v="13.356980371402251"/>
        <n v="11.236980371402252"/>
        <n v="2.046980371402251"/>
        <n v="51.45698037140225"/>
        <n v="3.136980371402251"/>
        <n v="58.42698037140225"/>
        <n v="32.84698037140225"/>
        <n v="9.386980371402252"/>
        <n v="3.0769803714022514"/>
        <n v="12.046980371402253"/>
        <n v="36.74698037140225"/>
        <n v="11.906980371402252"/>
        <n v="19.87698037140225"/>
        <n v="6.966980371402251"/>
        <n v="12.806980371402252"/>
        <n v="15.07698037140225"/>
        <n v="10.856980371402251"/>
        <n v="60.60698037140225"/>
        <n v="30.656980371402252"/>
        <n v="34.306980371402254"/>
        <n v="67.12698037140224"/>
        <n v="7.866980371402251"/>
        <n v="9.876980371402253"/>
        <n v="36.77698037140225"/>
        <n v="12.906980371402252"/>
        <n v="16.656980371402252"/>
        <n v="32.31698037140225"/>
        <n v="10.016980371402251"/>
        <n v="75.77698037140225"/>
        <n v="45.22698037140225"/>
        <n v="15.066980371402252"/>
        <n v="21.666980371402254"/>
        <n v="28.276980371402253"/>
        <n v="12.896980371402252"/>
        <n v="14.766980371402251"/>
        <n v="47.626980371402254"/>
        <n v="64.87698037140224"/>
        <n v="35.22698037140225"/>
        <n v="34.75698037140225"/>
        <n v="68.52698037140225"/>
        <n v="17.686980371402253"/>
        <n v="51.89698037140225"/>
        <n v="9.616980371402251"/>
        <n v="22.666980371402254"/>
        <n v="71.91698037140225"/>
        <n v="17.276980371402253"/>
        <n v="9.886980371402252"/>
        <n v="30.006980371402253"/>
        <n v="48.77698037140225"/>
        <n v="14.416980371402252"/>
        <n v="53.336980371402255"/>
        <n v="28.35698037140225"/>
        <n v="38.63698037140225"/>
        <n v="51.766980371402255"/>
        <n v="56.486980371402254"/>
        <n v="56.78698037140225"/>
        <n v="36.49698037140225"/>
        <n v="35.41698037140225"/>
        <n v="0.9669803714022513"/>
        <n v="37.18698037140225"/>
        <n v="73.25698037140225"/>
        <n v="19.526980371402253"/>
        <n v="33.31698037140225"/>
        <n v="27.46698037140225"/>
        <n v="32.49698037140225"/>
        <n v="51.306980371402254"/>
        <n v="28.28698037140225"/>
        <n v="33.556980371402254"/>
        <n v="64.43698037140224"/>
        <n v="37.61698037140225"/>
        <n v="32.876980371402254"/>
        <n v="26.956980371402253"/>
        <n v="10.666980371402252"/>
        <n v="31.596980371402253"/>
        <n v="37.66698037140225"/>
        <n v="17.30698037140225"/>
        <n v="10.936980371402251"/>
        <n v="54.99698037140225"/>
        <n v="12.866980371402251"/>
        <n v="17.07698037140225"/>
        <n v="56.376980371402254"/>
        <n v="2.9169803714022513"/>
        <n v="34.07698037140225"/>
        <n v="26.066980371402252"/>
        <n v="1.9869803714022516"/>
        <n v="55.126980371402254"/>
        <n v="15.05698037140225"/>
        <n v="43.00698037140225"/>
        <n v="31.46698037140225"/>
        <n v="24.046980371402253"/>
        <n v="32.47698037140225"/>
        <n v="42.586980371402255"/>
        <n v="36.736980371402254"/>
        <n v="33.00698037140225"/>
        <n v="30.53698037140225"/>
        <n v="14.476980371402252"/>
        <n v="15.886980371402252"/>
        <n v="37.79698037140225"/>
        <n v="13.196980371402251"/>
        <n v="15.80698037140225"/>
        <n v="54.736980371402254"/>
        <n v="67.64698037140225"/>
        <n v="38.09698037140225"/>
        <n v="26.01698037140225"/>
        <n v="39.88698037140225"/>
        <n v="14.676980371402252"/>
        <n v="15.086980371402252"/>
        <n v="37.91698037140225"/>
        <n v="10.786980371402251"/>
        <n v="52.78698037140225"/>
        <n v="3.046980371402251"/>
        <n v="51.57698037140225"/>
        <n v="32.27698037140225"/>
        <n v="31.04698037140225"/>
        <n v="9.606980371402251"/>
        <n v="66.86698037140225"/>
        <n v="10.416980371402252"/>
        <n v="50.64698037140225"/>
        <n v="10.966980371402252"/>
        <n v="29.886980371402252"/>
        <n v="27.746980371402252"/>
        <n v="13.406980371402252"/>
        <n v="1.1969803714022516"/>
        <n v="38.27698037140225"/>
        <n v="20.346980371402253"/>
        <n v="48.31698037140225"/>
        <n v="13.916980371402252"/>
        <n v="31.376980371402254"/>
        <n v="14.536980371402251"/>
        <n v="68.82698037140224"/>
        <n v="13.676980371402252"/>
        <n v="24.566980371402252"/>
        <n v="33.97698037140225"/>
        <n v="13.246980371402252"/>
        <n v="46.11698037140225"/>
        <n v="72.95698037140224"/>
        <n v="14.856980371402251"/>
        <n v="75.20698037140224"/>
        <n v="51.93698037140225"/>
        <n v="28.14698037140225"/>
        <n v="3.9069803714022515"/>
        <n v="30.866980371402253"/>
        <n v="18.476980371402252"/>
        <n v="10.316980371402252"/>
        <n v="12.546980371402253"/>
        <n v="29.73698037140225"/>
        <n v="17.64698037140225"/>
        <n v="10.906980371402252"/>
        <n v="18.51698037140225"/>
        <n v="19.32698037140225"/>
        <n v="23.98698037140225"/>
        <n v="38.53698037140225"/>
        <n v="16.046980371402253"/>
        <n v="13.256980371402252"/>
        <n v="13.186980371402251"/>
        <n v="16.03698037140225"/>
        <n v="11.726980371402252"/>
        <n v="33.93698037140225"/>
        <n v="62.196980371402255"/>
        <n v="17.44698037140225"/>
        <n v="26.526980371402253"/>
        <n v="18.276980371402253"/>
        <n v="30.666980371402254"/>
        <n v="4.206980371402251"/>
        <n v="2.0869803714022512"/>
        <n v="22.506980371402253"/>
        <n v="18.796980371402253"/>
        <n v="45.21698037140225"/>
        <n v="50.90698037140225"/>
        <n v="17.42698037140225"/>
        <n v="42.736980371402254"/>
        <n v="29.026980371402253"/>
        <n v="24.37698037140225"/>
        <n v="13.176980371402252"/>
        <n v="35.31698037140225"/>
        <n v="2.3069803714022514"/>
        <n v="63.846980371402246"/>
        <n v="30.246980371402252"/>
        <n v="15.936980371402253"/>
        <n v="29.636980371402252"/>
        <n v="0.9369803714022513"/>
        <n v="12.296980371402253"/>
        <n v="36.21698037140225"/>
        <n v="19.58698037140225"/>
        <n v="15.386980371402252"/>
        <n v="28.226980371402252"/>
        <n v="75.69698037140225"/>
        <n v="42.61698037140225"/>
        <n v="29.85698037140225"/>
        <n v="39.61698037140225"/>
        <n v="10.996980371402252"/>
        <n v="24.776980371402253"/>
        <n v="14.226980371402252"/>
        <n v="20.566980371402252"/>
        <n v="13.466980371402252"/>
        <n v="78.46698037140224"/>
        <n v="20.526980371402253"/>
        <n v="26.62698037140225"/>
        <n v="52.77698037140225"/>
        <n v="27.14698037140225"/>
        <n v="30.14698037140225"/>
        <n v="41.89698037140225"/>
        <n v="67.84698037140224"/>
        <n v="9.316980371402252"/>
        <n v="58.31698037140225"/>
        <n v="12.996980371402252"/>
        <n v="30.456980371402253"/>
        <n v="26.346980371402253"/>
        <n v="23.92698037140225"/>
        <n v="13.706980371402253"/>
        <n v="25.616980371402253"/>
        <n v="24.33698037140225"/>
        <n v="51.78698037140225"/>
        <n v="25.006980371402253"/>
        <n v="10.806980371402252"/>
        <n v="12.216980371402252"/>
        <n v="26.186980371402253"/>
        <n v="14.236980371402252"/>
        <n v="10.636980371402252"/>
        <n v="13.116980371402251"/>
        <n v="34.21698037140225"/>
        <n v="48.04698037140225"/>
        <n v="26.156980371402252"/>
        <n v="8.456980371402253"/>
        <n v="13.056980371402252"/>
        <n v="21.17698037140225"/>
        <n v="15.246980371402252"/>
        <n v="25.496980371402252"/>
        <n v="31.696980371402255"/>
        <n v="10.366980371402251"/>
        <n v="75.06698037140224"/>
        <n v="44.03698037140225"/>
        <n v="21.816980371402252"/>
        <n v="27.006980371402253"/>
        <n v="25.39698037140225"/>
        <n v="22.46698037140225"/>
        <n v="12.616980371402251"/>
        <n v="4.266980371402251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</sharedItems>
    </cacheField>
    <cacheField name="Mês" numFmtId="49">
      <sharedItems>
        <s v="jan."/>
        <s v="fev."/>
        <s v="mar."/>
        <s v="abr."/>
        <s v="mai."/>
        <s v="jun."/>
        <s v="jul."/>
        <s v="ago."/>
        <s v="set."/>
        <s v="out."/>
        <s v="nov."/>
        <s v="dez.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ompra_venda" cacheId="0" dataCaption="" compact="0" compactData="0">
  <location ref="A1:C22" firstHeaderRow="0" firstDataRow="2" firstDataCol="0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dataField="1" compact="0" outline="0" multipleItemSelectionAllowed="1" showAll="0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Normalização dos Preço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ê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4"/>
  </rowFields>
  <colFields>
    <field x="-2"/>
  </colFields>
  <dataFields>
    <dataField name=" Operação" fld="3" subtotal="count" baseField="0"/>
    <dataField name="Normalização dos Preços" fld="6" baseField="0"/>
  </dataFields>
</pivotTableDefinition>
</file>

<file path=xl/pivotTables/pivotTable2.xml><?xml version="1.0" encoding="utf-8"?>
<pivotTableDefinition xmlns="http://schemas.openxmlformats.org/spreadsheetml/2006/main" name="cliente_compra_venda" cacheId="0" dataCaption="" compact="0" compactData="0">
  <location ref="A1:F89" firstHeaderRow="0" firstDataRow="3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>
      <items>
        <item sd="0" x="22"/>
        <item sd="0" x="82"/>
        <item sd="0" x="79"/>
        <item sd="0" x="16"/>
        <item sd="0" x="65"/>
        <item sd="0" x="70"/>
        <item sd="0" x="72"/>
        <item sd="0" x="21"/>
        <item sd="0" x="58"/>
        <item sd="0" x="3"/>
        <item sd="0" x="49"/>
        <item sd="0" x="37"/>
        <item sd="0" x="35"/>
        <item sd="0" x="51"/>
        <item sd="0" x="24"/>
        <item sd="0" x="80"/>
        <item sd="0" x="59"/>
        <item sd="0" x="2"/>
        <item sd="0" x="47"/>
        <item sd="0" x="6"/>
        <item sd="0" x="17"/>
        <item sd="0" x="73"/>
        <item sd="0" x="42"/>
        <item sd="0" x="45"/>
        <item sd="0" x="19"/>
        <item sd="0" x="7"/>
        <item sd="0" x="48"/>
        <item sd="0" x="44"/>
        <item sd="0" x="39"/>
        <item sd="0" x="54"/>
        <item sd="0" x="41"/>
        <item sd="0" x="46"/>
        <item sd="0" x="64"/>
        <item sd="0" x="69"/>
        <item sd="0" x="1"/>
        <item sd="0" x="30"/>
        <item sd="0" x="53"/>
        <item sd="0" x="67"/>
        <item sd="0" x="83"/>
        <item sd="0" x="60"/>
        <item sd="0" x="52"/>
        <item sd="0" x="66"/>
        <item sd="0" x="8"/>
        <item sd="0" x="36"/>
        <item sd="0" x="77"/>
        <item sd="0" x="15"/>
        <item sd="0" x="61"/>
        <item sd="0" x="81"/>
        <item sd="0" x="14"/>
        <item sd="0" x="31"/>
        <item sd="0" x="32"/>
        <item sd="0" x="63"/>
        <item sd="0" x="20"/>
        <item sd="0" x="0"/>
        <item sd="0" x="78"/>
        <item sd="0" x="23"/>
        <item sd="0" x="10"/>
        <item sd="0" x="33"/>
        <item sd="0" x="62"/>
        <item sd="0" x="29"/>
        <item sd="0" x="71"/>
        <item sd="0" x="5"/>
        <item sd="0" x="57"/>
        <item sd="0" x="55"/>
        <item sd="0" x="76"/>
        <item sd="0" x="18"/>
        <item sd="0" x="34"/>
        <item sd="0" x="27"/>
        <item sd="0" x="9"/>
        <item sd="0" x="75"/>
        <item sd="0" x="26"/>
        <item sd="0" x="68"/>
        <item sd="0" x="43"/>
        <item sd="0" x="13"/>
        <item sd="0" x="74"/>
        <item sd="0" x="11"/>
        <item sd="0" x="40"/>
        <item sd="0" x="12"/>
        <item sd="0" x="50"/>
        <item sd="0" x="56"/>
        <item sd="0" x="85"/>
        <item sd="0" x="38"/>
        <item sd="0" x="25"/>
        <item sd="0" x="28"/>
        <item sd="0" x="4"/>
        <item sd="0" x="84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compact="0" outline="0" multipleItemSelectionAllowed="1" showAll="0" sortType="ascending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Normalização dos Preço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ês" axis="axisRow" compact="0" numFmtId="49" outline="0" multipleItemSelectionAllowed="1" showAll="0" sortType="ascending" defaultSubtotal="0">
      <items>
        <item x="3"/>
        <item x="7"/>
        <item x="11"/>
        <item x="1"/>
        <item x="0"/>
        <item x="6"/>
        <item x="5"/>
        <item x="4"/>
        <item x="2"/>
        <item x="10"/>
        <item x="9"/>
        <item x="8"/>
      </items>
    </pivotField>
  </pivotFields>
  <rowFields>
    <field x="1"/>
    <field x="8"/>
    <field x="4"/>
  </rowFields>
  <colFields>
    <field x="3"/>
  </colFields>
  <dataFields>
    <dataField name="SUM of Normalização dos Preços" fld="6" baseField="0"/>
  </dataFields>
</pivotTableDefinition>
</file>

<file path=xl/pivotTables/pivotTable3.xml><?xml version="1.0" encoding="utf-8"?>
<pivotTableDefinition xmlns="http://schemas.openxmlformats.org/spreadsheetml/2006/main" name="cliente_lucro_prejuizo" cacheId="1" dataCaption="" rowGrandTotals="0" colGrandTotals="0" compact="0" compactData="0">
  <location ref="A1:D1140" firstHeaderRow="0" firstDataRow="2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 defaultSubtotal="0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compact="0" outline="0" multipleItemSelectionAllowed="1" showAll="0" sortType="ascending">
      <items>
        <item x="0"/>
        <item x="1"/>
        <item t="default"/>
      </items>
    </pivotField>
    <pivotField name="Stiker" axis="axisRow" compact="0" numFmtId="49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t="default"/>
      </items>
    </pivotField>
    <pivotField name="Normalização dos Preço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t="default"/>
      </items>
    </pivotField>
    <pivotField name="Mê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  <field x="4"/>
  </rowFields>
  <colFields>
    <field x="3"/>
  </colFields>
  <dataFields>
    <dataField name="Normalização dos Preços" fld="6" baseField="0"/>
  </dataFields>
</pivotTableDefinition>
</file>

<file path=xl/tables/table1.xml><?xml version="1.0" encoding="utf-8"?>
<table xmlns="http://schemas.openxmlformats.org/spreadsheetml/2006/main" ref="A1:A2003" displayName="Table_1" name="Table_1" id="1">
  <tableColumns count="1">
    <tableColumn name="Cód. Cliente" id="1"/>
  </tableColumns>
  <tableStyleInfo name="Estatística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2001" displayName="Table_2" name="Table_2" id="2">
  <tableColumns count="1">
    <tableColumn name="Column1" id="1"/>
  </tableColumns>
  <tableStyleInfo name="Estatística-style 2" showColumnStripes="0" showFirstColumn="1" showLastColumn="1" showRowStripes="1"/>
</table>
</file>

<file path=xl/tables/table3.xml><?xml version="1.0" encoding="utf-8"?>
<table xmlns="http://schemas.openxmlformats.org/spreadsheetml/2006/main" headerRowCount="0" ref="G7:T27" displayName="Table_3" 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endência_tempor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L29:P42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Tendência_tempor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A2003" displayName="Table_5" name="Table_5" id="5">
  <tableColumns count="1">
    <tableColumn name="Código Cliente" id="1"/>
  </tableColumns>
  <tableStyleInfo name="Clien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5"/>
    <col customWidth="1" min="3" max="3" width="28.13"/>
    <col customWidth="1" min="4" max="4" width="11.13"/>
    <col customWidth="1" min="5" max="6" width="8.13"/>
    <col customWidth="1" min="7" max="7" width="23.75"/>
    <col customWidth="1" min="8" max="8" width="9.38"/>
    <col customWidth="1" min="9" max="9" width="6.75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 t="s">
        <v>8</v>
      </c>
      <c r="O1" s="8"/>
    </row>
    <row r="2" ht="15.75" customHeight="1">
      <c r="A2" s="9">
        <v>30.0</v>
      </c>
      <c r="B2" s="10" t="s">
        <v>9</v>
      </c>
      <c r="C2" s="9" t="s">
        <v>10</v>
      </c>
      <c r="D2" s="10" t="s">
        <v>11</v>
      </c>
      <c r="E2" s="11" t="s">
        <v>12</v>
      </c>
      <c r="F2" s="12">
        <v>10.3</v>
      </c>
      <c r="G2" s="12">
        <f>F2-'Estatística'!$D$6/'Estatística'!$D$10</f>
        <v>9.296980371</v>
      </c>
      <c r="H2" s="13">
        <v>44927.0</v>
      </c>
      <c r="I2" s="14" t="str">
        <f t="shared" ref="I2:I2001" si="1">TEXT(H:H,"mmm")</f>
        <v>jan.</v>
      </c>
      <c r="J2" s="15"/>
      <c r="K2" s="15" t="s">
        <v>8</v>
      </c>
      <c r="L2" s="15" t="s">
        <v>13</v>
      </c>
      <c r="M2" s="16" t="s">
        <v>14</v>
      </c>
      <c r="O2" s="17" t="str">
        <f t="array" ref="O2:O23">UNIQUE(E:E)</f>
        <v>Stiker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15" t="s">
        <v>27</v>
      </c>
      <c r="AC2" s="18"/>
    </row>
    <row r="3" ht="15.75" customHeight="1">
      <c r="A3" s="19">
        <v>78.0</v>
      </c>
      <c r="B3" s="19" t="s">
        <v>28</v>
      </c>
      <c r="C3" s="19" t="s">
        <v>29</v>
      </c>
      <c r="D3" s="20" t="s">
        <v>30</v>
      </c>
      <c r="E3" s="21" t="s">
        <v>31</v>
      </c>
      <c r="F3" s="22">
        <v>53.3</v>
      </c>
      <c r="G3" s="22">
        <f>F3-'Estatística'!$D$6/'Estatística'!$D$10</f>
        <v>52.29698037</v>
      </c>
      <c r="H3" s="23">
        <v>44927.0</v>
      </c>
      <c r="I3" s="24" t="str">
        <f t="shared" si="1"/>
        <v>jan.</v>
      </c>
      <c r="J3" s="25"/>
      <c r="K3" s="25" t="s">
        <v>32</v>
      </c>
      <c r="L3" s="26">
        <f>COUNTIFS(H:H,"&gt;=01/01/2023",H:H,"&lt;=31/01/2023")</f>
        <v>152</v>
      </c>
      <c r="O3" s="8" t="s">
        <v>12</v>
      </c>
      <c r="P3" s="26">
        <f t="array" ref="P3">COUNTIFS(E:E,"IGTA3",H:H,"&gt;=01/01/2023",H:H,"&lt;=31/01/2023")</f>
        <v>8</v>
      </c>
      <c r="Q3" s="26">
        <f t="array" ref="Q3">COUNTIFS(E:E,"IGTA3",H:H,"&gt;=01/02/2023",H:H,"&lt;=28/02/2023")</f>
        <v>9</v>
      </c>
      <c r="R3" s="26">
        <f t="array" ref="R3">COUNTIFS(E:E,"IGTA3",H:H,"&gt;=01/03/2023",H:H,"&lt;=31/03/2023")</f>
        <v>9</v>
      </c>
      <c r="S3" s="26">
        <f t="array" ref="S3">COUNTIFS(E:E,"IGTA3",H:H,"&gt;=01/04/2023",H:H,"&lt;=30/04/2023")</f>
        <v>6</v>
      </c>
      <c r="T3" s="26">
        <f t="array" ref="T3">COUNTIFS(E:E,"IGTA3",H:H,"&gt;=01/05/2023",H:H,"&lt;=31/05/2023")</f>
        <v>6</v>
      </c>
      <c r="U3" s="26">
        <f t="array" ref="U3">COUNTIFS(E:E,"IGTA3",H:H,"&gt;=01/06/2023",H:H,"&lt;=30/06/2023")</f>
        <v>11</v>
      </c>
      <c r="V3" s="26">
        <f t="array" ref="V3">COUNTIFS(E:E,"IGTA3",H:H,"&gt;=01/07/2023",H:H,"&lt;=31/07/2023")</f>
        <v>10</v>
      </c>
      <c r="W3" s="26">
        <f t="array" ref="W3">COUNTIFS(E:E,"IGTA3",H:H,"&gt;=01/08/2023",H:H,"&lt;=31/08/2023")</f>
        <v>8</v>
      </c>
      <c r="X3" s="26">
        <f t="array" ref="X3">COUNTIFS(E:E,"IGTA3",H:H,"&gt;=01/09/2023",H:H,"&lt;=30/09/2023")</f>
        <v>4</v>
      </c>
      <c r="Y3" s="26">
        <f t="array" ref="Y3">COUNTIFS(E:E,"IGTA3",H:H,"&gt;=01/10/2023",H:H,"&lt;=31/10/2023")</f>
        <v>11</v>
      </c>
      <c r="Z3" s="26">
        <f t="array" ref="Z3">COUNTIFS(E:E,"IGTA3",H:H,"&gt;=01/11/2023",H:H,"&lt;=30/11/2023")</f>
        <v>7</v>
      </c>
      <c r="AA3" s="26">
        <f t="array" ref="AA3">COUNTIFS(E:E,"IGTA3",H:H,"&gt;=01/12/2023",H:H,"&lt;=31/12/2023")</f>
        <v>6</v>
      </c>
      <c r="AB3" s="26">
        <f t="shared" ref="AB3:AB22" si="2">COUNTIF(E:E,O3)</f>
        <v>95</v>
      </c>
    </row>
    <row r="4" ht="15.75" customHeight="1">
      <c r="A4" s="9">
        <v>50.0</v>
      </c>
      <c r="B4" s="9" t="s">
        <v>33</v>
      </c>
      <c r="C4" s="9" t="s">
        <v>34</v>
      </c>
      <c r="D4" s="10" t="s">
        <v>11</v>
      </c>
      <c r="E4" s="11" t="s">
        <v>35</v>
      </c>
      <c r="F4" s="12">
        <v>21.69</v>
      </c>
      <c r="G4" s="12">
        <f>F4-'Estatística'!$D$6/'Estatística'!$D$10</f>
        <v>20.68698037</v>
      </c>
      <c r="H4" s="13">
        <v>44927.0</v>
      </c>
      <c r="I4" s="14" t="str">
        <f t="shared" si="1"/>
        <v>jan.</v>
      </c>
      <c r="J4" s="18"/>
      <c r="K4" s="18" t="s">
        <v>36</v>
      </c>
      <c r="L4" s="26">
        <f>COUNTIFS(H:H,"&gt;=01/02/2023",H:H,"&lt;=28/02/2023")</f>
        <v>172</v>
      </c>
      <c r="O4" s="8" t="s">
        <v>31</v>
      </c>
      <c r="P4" s="26">
        <f t="array" ref="P4">COUNTIFS(E:E,"VIVT3",H:H,"&gt;=01/01/2023",H:H,"&lt;=31/01/2023")</f>
        <v>9</v>
      </c>
      <c r="Q4" s="26">
        <f t="array" ref="Q4">COUNTIFS(E:E,"VIVT3",H:H,"&gt;=01/02/2023",H:H,"&lt;=28/02/2023")</f>
        <v>6</v>
      </c>
      <c r="R4" s="26">
        <f t="array" ref="R4">COUNTIFS(E:E,"VIVT3",H:H,"&gt;=01/03/2023",H:H,"&lt;=31/03/2023")</f>
        <v>6</v>
      </c>
      <c r="S4" s="26">
        <f t="array" ref="S4">COUNTIFS(E:E,"VIVT3",H:H,"&gt;=01/04/2023",H:H,"&lt;=30/04/2023")</f>
        <v>12</v>
      </c>
      <c r="T4" s="26">
        <f t="array" ref="T4">COUNTIFS(E:E,"VIVT3",H:H,"&gt;=01/05/2023",H:H,"&lt;=31/05/2023")</f>
        <v>8</v>
      </c>
      <c r="U4" s="26">
        <f t="array" ref="U4">COUNTIFS(E:E,"VIVT3",H:H,"&gt;=01/06/2023",H:H,"&lt;=30/06/2023")</f>
        <v>11</v>
      </c>
      <c r="V4" s="26">
        <f t="array" ref="V4">COUNTIFS(E:E,"VIVT3",H:H,"&gt;=01/07/2023",H:H,"&lt;=31/07/2023")</f>
        <v>7</v>
      </c>
      <c r="W4" s="26">
        <f t="array" ref="W4">COUNTIFS(E:E,"VIVT3",H:H,"&gt;=01/08/2023",H:H,"&lt;=31/08/2023")</f>
        <v>6</v>
      </c>
      <c r="X4" s="26">
        <f t="array" ref="X4">COUNTIFS(E:E,"VIVT3",H:H,"&gt;=01/09/2023",H:H,"&lt;=30/09/2023")</f>
        <v>8</v>
      </c>
      <c r="Y4" s="26">
        <f t="array" ref="Y4">COUNTIFS(E:E,"VIVT3",H:H,"&gt;=01/10/2023",H:H,"&lt;=31/10/2023")</f>
        <v>6</v>
      </c>
      <c r="Z4" s="26">
        <f t="array" ref="Z4">COUNTIFS(E:E,"VIVT3",H:H,"&gt;=01/11/2023",H:H,"&lt;=30/11/2023")</f>
        <v>7</v>
      </c>
      <c r="AA4" s="26">
        <f t="array" ref="AA4">COUNTIFS(E:E,"VIVT3",H:H,"&gt;=01/12/2023",H:H,"&lt;=31/12/2023")</f>
        <v>10</v>
      </c>
      <c r="AB4" s="26">
        <f t="shared" si="2"/>
        <v>96</v>
      </c>
    </row>
    <row r="5" ht="15.75" customHeight="1">
      <c r="A5" s="19">
        <v>80.0</v>
      </c>
      <c r="B5" s="19" t="s">
        <v>37</v>
      </c>
      <c r="C5" s="19" t="s">
        <v>38</v>
      </c>
      <c r="D5" s="20" t="s">
        <v>30</v>
      </c>
      <c r="E5" s="21" t="s">
        <v>39</v>
      </c>
      <c r="F5" s="22">
        <v>39.74</v>
      </c>
      <c r="G5" s="22">
        <f>F5-'Estatística'!$D$6/'Estatística'!$D$10</f>
        <v>38.73698037</v>
      </c>
      <c r="H5" s="23">
        <v>44928.0</v>
      </c>
      <c r="I5" s="24" t="str">
        <f t="shared" si="1"/>
        <v>jan.</v>
      </c>
      <c r="J5" s="18"/>
      <c r="K5" s="18" t="s">
        <v>40</v>
      </c>
      <c r="L5" s="26">
        <f>COUNTIFS(H:H,"&gt;=01/03/2023",H:H,"&lt;=31/03/2023")</f>
        <v>148</v>
      </c>
      <c r="O5" s="8" t="s">
        <v>35</v>
      </c>
      <c r="P5" s="26">
        <f t="array" ref="P5">COUNTIFS(E:E,"LREN3",H:H,"&gt;=01/01/2023",H:H,"&lt;=31/01/2023")</f>
        <v>6</v>
      </c>
      <c r="Q5" s="26">
        <f t="array" ref="Q5">COUNTIFS(E:E,"LREN3",H:H,"&gt;=01/02/2023",H:H,"&lt;=28/02/2023")</f>
        <v>6</v>
      </c>
      <c r="R5" s="26">
        <f t="array" ref="R5">COUNTIFS(E:E,"LREN3",H:H,"&gt;=01/03/2023",H:H,"&lt;=31/03/2023")</f>
        <v>5</v>
      </c>
      <c r="S5" s="26">
        <f t="array" ref="S5">COUNTIFS(E:E,"LREN3",H:H,"&gt;=01/04/2023",H:H,"&lt;=30/04/2023")</f>
        <v>9</v>
      </c>
      <c r="T5" s="26">
        <f t="array" ref="T5">COUNTIFS(E:E,"LREN3",H:H,"&gt;=01/05/2023",H:H,"&lt;=31/05/2023")</f>
        <v>8</v>
      </c>
      <c r="U5" s="26">
        <f t="array" ref="U5">COUNTIFS(E:E,"LREN3",H:H,"&gt;=01/06/2023",H:H,"&lt;=30/06/2023")</f>
        <v>7</v>
      </c>
      <c r="V5" s="26">
        <f t="array" ref="V5">COUNTIFS(E:E,"LREN3",H:H,"&gt;=01/07/2023",H:H,"&lt;=31/07/2023")</f>
        <v>10</v>
      </c>
      <c r="W5" s="26">
        <f t="array" ref="W5">COUNTIFS(E:E,"LREN3",H:H,"&gt;=01/08/2023",H:H,"&lt;=31/08/2023")</f>
        <v>11</v>
      </c>
      <c r="X5" s="26">
        <f t="array" ref="X5">COUNTIFS(E:E,"LREN3",H:H,"&gt;=01/09/2023",H:H,"&lt;=30/09/2023")</f>
        <v>9</v>
      </c>
      <c r="Y5" s="26">
        <f t="array" ref="Y5">COUNTIFS(E:E,"LREN3",H:H,"&gt;=01/10/2023",H:H,"&lt;=31/10/2023")</f>
        <v>12</v>
      </c>
      <c r="Z5" s="26">
        <f t="array" ref="Z5">COUNTIFS(E:E,"LREN3",H:H,"&gt;=01/11/2023",H:H,"&lt;=30/11/2023")</f>
        <v>8</v>
      </c>
      <c r="AA5" s="26">
        <f t="array" ref="AA5">COUNTIFS(E:E,"LREN3",H:H,"&gt;=01/12/2023",H:H,"&lt;=31/12/2023")</f>
        <v>8</v>
      </c>
      <c r="AB5" s="26">
        <f t="shared" si="2"/>
        <v>99</v>
      </c>
    </row>
    <row r="6" ht="15.75" customHeight="1">
      <c r="A6" s="9">
        <v>68.0</v>
      </c>
      <c r="B6" s="9" t="s">
        <v>41</v>
      </c>
      <c r="C6" s="9" t="s">
        <v>42</v>
      </c>
      <c r="D6" s="10" t="s">
        <v>11</v>
      </c>
      <c r="E6" s="11" t="s">
        <v>43</v>
      </c>
      <c r="F6" s="12">
        <v>17.96</v>
      </c>
      <c r="G6" s="12">
        <f>F6-'Estatística'!$D$6/'Estatística'!$D$10</f>
        <v>16.95698037</v>
      </c>
      <c r="H6" s="13">
        <v>44928.0</v>
      </c>
      <c r="I6" s="14" t="str">
        <f t="shared" si="1"/>
        <v>jan.</v>
      </c>
      <c r="J6" s="18"/>
      <c r="K6" s="18" t="s">
        <v>44</v>
      </c>
      <c r="L6" s="26">
        <f>COUNTIFS(H:H,"&gt;=01/04/2023",H:H,"&lt;=30/04/2023")</f>
        <v>169</v>
      </c>
      <c r="O6" s="8" t="s">
        <v>39</v>
      </c>
      <c r="P6" s="26">
        <f t="array" ref="P6">COUNTIFS(E:E,"PETR4",H:H,"&gt;=01/01/2023",H:H,"&lt;=31/01/2023")</f>
        <v>9</v>
      </c>
      <c r="Q6" s="26">
        <f t="array" ref="Q6">COUNTIFS(E:E,"PETR4",H:H,"&gt;=01/02/2023",H:H,"&lt;=28/02/2023")</f>
        <v>10</v>
      </c>
      <c r="R6" s="26">
        <f t="array" ref="R6">COUNTIFS(E:E,"PETR4",H:H,"&gt;=01/03/2023",H:H,"&lt;=31/03/2023")</f>
        <v>5</v>
      </c>
      <c r="S6" s="26">
        <f t="array" ref="S6">COUNTIFS(E:E,"PETR4",H:H,"&gt;=01/04/2023",H:H,"&lt;=30/04/2023")</f>
        <v>6</v>
      </c>
      <c r="T6" s="26">
        <f t="array" ref="T6">COUNTIFS(E:E,"PETR4",H:H,"&gt;=01/05/2023",H:H,"&lt;=31/05/2023")</f>
        <v>14</v>
      </c>
      <c r="U6" s="26">
        <f t="array" ref="U6">COUNTIFS(E:E,"PETR4",H:H,"&gt;=01/06/2023",H:H,"&lt;=30/06/2023")</f>
        <v>7</v>
      </c>
      <c r="V6" s="26">
        <f t="array" ref="V6">COUNTIFS(E:E,"PETR4",H:H,"&gt;=01/07/2023",H:H,"&lt;=31/07/2023")</f>
        <v>6</v>
      </c>
      <c r="W6" s="26">
        <f t="array" ref="W6">COUNTIFS(E:E,"PETR4",H:H,"&gt;=01/08/2023",H:H,"&lt;=31/08/2023")</f>
        <v>4</v>
      </c>
      <c r="X6" s="26">
        <f t="array" ref="X6">COUNTIFS(E:E,"PETR4",H:H,"&gt;=01/09/2023",H:H,"&lt;=30/09/2023")</f>
        <v>10</v>
      </c>
      <c r="Y6" s="26">
        <f t="array" ref="Y6">COUNTIFS(E:E,"PETR4",H:H,"&gt;=01/10/2023",H:H,"&lt;=31/10/2023")</f>
        <v>10</v>
      </c>
      <c r="Z6" s="26">
        <f t="array" ref="Z6">COUNTIFS(E:E,"PETR4",H:H,"&gt;=01/11/2023",H:H,"&lt;=30/11/2023")</f>
        <v>10</v>
      </c>
      <c r="AA6" s="26">
        <f t="array" ref="AA6">COUNTIFS(E:E,"PETR4",H:H,"&gt;=01/12/2023",H:H,"&lt;=31/12/2023")</f>
        <v>13</v>
      </c>
      <c r="AB6" s="26">
        <f t="shared" si="2"/>
        <v>104</v>
      </c>
    </row>
    <row r="7" ht="15.75" customHeight="1">
      <c r="A7" s="19">
        <v>48.0</v>
      </c>
      <c r="B7" s="19" t="s">
        <v>41</v>
      </c>
      <c r="C7" s="19" t="s">
        <v>45</v>
      </c>
      <c r="D7" s="20" t="s">
        <v>30</v>
      </c>
      <c r="E7" s="21" t="s">
        <v>46</v>
      </c>
      <c r="F7" s="22">
        <v>11.95</v>
      </c>
      <c r="G7" s="22">
        <f>F7-'Estatística'!$D$6/'Estatística'!$D$10</f>
        <v>10.94698037</v>
      </c>
      <c r="H7" s="23">
        <v>44928.0</v>
      </c>
      <c r="I7" s="24" t="str">
        <f t="shared" si="1"/>
        <v>jan.</v>
      </c>
      <c r="J7" s="18"/>
      <c r="K7" s="18" t="s">
        <v>47</v>
      </c>
      <c r="L7" s="26">
        <f>COUNTIFS(H:H,"&gt;=01/05/2023",H:H,"&lt;=31/05/2023")</f>
        <v>167</v>
      </c>
      <c r="O7" s="8" t="s">
        <v>43</v>
      </c>
      <c r="P7" s="26">
        <f t="array" ref="P7">COUNTIFS(E:E,"CSAN3",H:H,"&gt;=01/01/2023",H:H,"&lt;=31/01/2023")</f>
        <v>5</v>
      </c>
      <c r="Q7" s="26">
        <f t="array" ref="Q7">COUNTIFS(E:E,"CSAN3",H:H,"&gt;=01/02/2023",H:H,"&lt;=28/02/2023")</f>
        <v>10</v>
      </c>
      <c r="R7" s="26">
        <f t="array" ref="R7">COUNTIFS(E:E,"CSAN3",H:H,"&gt;=01/03/2023",H:H,"&lt;=31/03/2023")</f>
        <v>8</v>
      </c>
      <c r="S7" s="26">
        <f t="array" ref="S7">COUNTIFS(E:E,"CSAN3",H:H,"&gt;=01/04/2023",H:H,"&lt;=30/04/2023")</f>
        <v>4</v>
      </c>
      <c r="T7" s="26">
        <f t="array" ref="T7">COUNTIFS(E:E,"CSAN3",H:H,"&gt;=01/05/2023",H:H,"&lt;=31/05/2023")</f>
        <v>3</v>
      </c>
      <c r="U7" s="26">
        <f t="array" ref="U7">COUNTIFS(E:E,"CSAN3",H:H,"&gt;=01/06/2023",H:H,"&lt;=30/06/2023")</f>
        <v>11</v>
      </c>
      <c r="V7" s="26">
        <f t="array" ref="V7">COUNTIFS(E:E,"CSAN3",H:H,"&gt;=01/07/2023",H:H,"&lt;=31/07/2023")</f>
        <v>8</v>
      </c>
      <c r="W7" s="26">
        <f t="array" ref="W7">COUNTIFS(E:E,"CSAN3",H:H,"&gt;=01/08/2023",H:H,"&lt;=31/08/2023")</f>
        <v>8</v>
      </c>
      <c r="X7" s="26">
        <f t="array" ref="X7">COUNTIFS(E:E,"CSAN3",H:H,"&gt;=01/09/2023",H:H,"&lt;=30/09/2023")</f>
        <v>8</v>
      </c>
      <c r="Y7" s="26">
        <f t="array" ref="Y7">COUNTIFS(E:E,"CSAN3",H:H,"&gt;=01/10/2023",H:H,"&lt;=31/10/2023")</f>
        <v>2</v>
      </c>
      <c r="Z7" s="26">
        <f t="array" ref="Z7">COUNTIFS(E:E,"CSAN3",H:H,"&gt;=01/11/2023",H:H,"&lt;=30/11/2023")</f>
        <v>11</v>
      </c>
      <c r="AA7" s="26">
        <f t="array" ref="AA7">COUNTIFS(E:E,"CSAN3",H:H,"&gt;=01/12/2023",H:H,"&lt;=31/12/2023")</f>
        <v>8</v>
      </c>
      <c r="AB7" s="26">
        <f t="shared" si="2"/>
        <v>86</v>
      </c>
    </row>
    <row r="8" ht="15.75" customHeight="1">
      <c r="A8" s="9">
        <v>100.0</v>
      </c>
      <c r="B8" s="9" t="s">
        <v>48</v>
      </c>
      <c r="C8" s="9" t="s">
        <v>49</v>
      </c>
      <c r="D8" s="10" t="s">
        <v>11</v>
      </c>
      <c r="E8" s="11" t="s">
        <v>50</v>
      </c>
      <c r="F8" s="12">
        <v>24.53</v>
      </c>
      <c r="G8" s="12">
        <f>F8-'Estatística'!$D$6/'Estatística'!$D$10</f>
        <v>23.52698037</v>
      </c>
      <c r="H8" s="13">
        <v>44928.0</v>
      </c>
      <c r="I8" s="14" t="str">
        <f t="shared" si="1"/>
        <v>jan.</v>
      </c>
      <c r="J8" s="18"/>
      <c r="K8" s="18" t="s">
        <v>51</v>
      </c>
      <c r="L8" s="26">
        <f>COUNTIFS(H:H,"&gt;=01/06/2023",H:H,"&lt;=30/06/2023")</f>
        <v>172</v>
      </c>
      <c r="O8" s="8" t="s">
        <v>46</v>
      </c>
      <c r="P8" s="26">
        <f t="array" ref="P8">COUNTIFS(E:E,"ABEV3",H:H,"&gt;=01/01/2023",H:H,"&lt;=31/01/2023")</f>
        <v>5</v>
      </c>
      <c r="Q8" s="26">
        <f t="array" ref="Q8">COUNTIFS(E:E,"ABEV3",H:H,"&gt;=01/02/2023",H:H,"&lt;=28/02/2023")</f>
        <v>12</v>
      </c>
      <c r="R8" s="26">
        <f t="array" ref="R8">COUNTIFS(E:E,"ABEV3",H:H,"&gt;=01/03/2023",H:H,"&lt;=31/03/2023")</f>
        <v>5</v>
      </c>
      <c r="S8" s="26">
        <f t="array" ref="S8">COUNTIFS(E:E,"ABEV3",H:H,"&gt;=01/04/2023",H:H,"&lt;=30/04/2023")</f>
        <v>14</v>
      </c>
      <c r="T8" s="26">
        <f t="array" ref="T8">COUNTIFS(E:E,"ABEV3",H:H,"&gt;=01/05/2023",H:H,"&lt;=31/05/2023")</f>
        <v>6</v>
      </c>
      <c r="U8" s="26">
        <f t="array" ref="U8">COUNTIFS(E:E,"ABEV3",H:H,"&gt;=01/06/2023",H:H,"&lt;=30/06/2023")</f>
        <v>9</v>
      </c>
      <c r="V8" s="26">
        <f t="array" ref="V8">COUNTIFS(E:E,"ABEV3",H:H,"&gt;=01/07/2023",H:H,"&lt;=31/07/2023")</f>
        <v>6</v>
      </c>
      <c r="W8" s="26">
        <f t="array" ref="W8">COUNTIFS(E:E,"ABEV3",H:H,"&gt;=01/08/2023",H:H,"&lt;=31/08/2023")</f>
        <v>9</v>
      </c>
      <c r="X8" s="26">
        <f t="array" ref="X8">COUNTIFS(E:E,"ABEV3",H:H,"&gt;=01/09/2023",H:H,"&lt;=30/09/2023")</f>
        <v>7</v>
      </c>
      <c r="Y8" s="26">
        <f t="array" ref="Y8">COUNTIFS(E:E,"ABEV3",H:H,"&gt;=01/10/2023",H:H,"&lt;=31/10/2023")</f>
        <v>9</v>
      </c>
      <c r="Z8" s="26">
        <f t="array" ref="Z8">COUNTIFS(E:E,"ABEV3",H:H,"&gt;=01/11/2023",H:H,"&lt;=30/11/2023")</f>
        <v>16</v>
      </c>
      <c r="AA8" s="26">
        <f t="array" ref="AA8">COUNTIFS(E:E,"ABEV3",H:H,"&gt;=01/12/2023",H:H,"&lt;=31/12/2023")</f>
        <v>12</v>
      </c>
      <c r="AB8" s="26">
        <f t="shared" si="2"/>
        <v>110</v>
      </c>
    </row>
    <row r="9" ht="15.75" customHeight="1">
      <c r="A9" s="19">
        <v>30.0</v>
      </c>
      <c r="B9" s="19" t="s">
        <v>9</v>
      </c>
      <c r="C9" s="19" t="s">
        <v>10</v>
      </c>
      <c r="D9" s="20" t="s">
        <v>11</v>
      </c>
      <c r="E9" s="21" t="s">
        <v>52</v>
      </c>
      <c r="F9" s="22">
        <v>46.74</v>
      </c>
      <c r="G9" s="22">
        <f>F9-'Estatística'!$D$6/'Estatística'!$D$10</f>
        <v>45.73698037</v>
      </c>
      <c r="H9" s="23">
        <v>44928.0</v>
      </c>
      <c r="I9" s="24" t="str">
        <f t="shared" si="1"/>
        <v>jan.</v>
      </c>
      <c r="J9" s="18"/>
      <c r="K9" s="18" t="s">
        <v>53</v>
      </c>
      <c r="L9" s="26">
        <f>COUNTIFS(H:H,"&gt;=01/07/2023",H:H,"&lt;=31/07/2023")</f>
        <v>158</v>
      </c>
      <c r="O9" s="8" t="s">
        <v>50</v>
      </c>
      <c r="P9" s="26">
        <f t="array" ref="P9">COUNTIFS(E:E,"ITUB4",H:H,"&gt;=01/01/2023",H:H,"&lt;=31/01/2023")</f>
        <v>10</v>
      </c>
      <c r="Q9" s="26">
        <f t="array" ref="Q9">COUNTIFS(E:E,"ITUB4",H:H,"&gt;=01/02/2023",H:H,"&lt;=28/02/2023")</f>
        <v>11</v>
      </c>
      <c r="R9" s="26">
        <f t="array" ref="R9">COUNTIFS(E:E,"ITUB4",H:H,"&gt;=01/03/2023",H:H,"&lt;=31/03/2023")</f>
        <v>13</v>
      </c>
      <c r="S9" s="26">
        <f t="array" ref="S9">COUNTIFS(E:E,"ITUB4",H:H,"&gt;=01/04/2023",H:H,"&lt;=30/04/2023")</f>
        <v>11</v>
      </c>
      <c r="T9" s="26">
        <f t="array" ref="T9">COUNTIFS(E:E,"ITUB4",H:H,"&gt;=01/05/2023",H:H,"&lt;=31/05/2023")</f>
        <v>11</v>
      </c>
      <c r="U9" s="26">
        <f t="array" ref="U9">COUNTIFS(E:E,"ITUB4",H:H,"&gt;=01/06/2023",H:H,"&lt;=30/06/2023")</f>
        <v>5</v>
      </c>
      <c r="V9" s="26">
        <f t="array" ref="V9">COUNTIFS(E:E,"ITUB4",H:H,"&gt;=01/07/2023",H:H,"&lt;=31/07/2023")</f>
        <v>10</v>
      </c>
      <c r="W9" s="26">
        <f t="array" ref="W9">COUNTIFS(E:E,"ITUB4",H:H,"&gt;=01/08/2023",H:H,"&lt;=31/08/2023")</f>
        <v>11</v>
      </c>
      <c r="X9" s="26">
        <f t="array" ref="X9">COUNTIFS(E:E,"ITUB4",H:H,"&gt;=01/09/2023",H:H,"&lt;=30/09/2023")</f>
        <v>7</v>
      </c>
      <c r="Y9" s="26">
        <f t="array" ref="Y9">COUNTIFS(E:E,"ITUB4",H:H,"&gt;=01/10/2023",H:H,"&lt;=31/10/2023")</f>
        <v>6</v>
      </c>
      <c r="Z9" s="26">
        <f t="array" ref="Z9">COUNTIFS(E:E,"ITUB4",H:H,"&gt;=01/11/2023",H:H,"&lt;=30/11/2023")</f>
        <v>5</v>
      </c>
      <c r="AA9" s="26">
        <f t="array" ref="AA9">COUNTIFS(E:E,"ITUB4",H:H,"&gt;=01/12/2023",H:H,"&lt;=31/12/2023")</f>
        <v>15</v>
      </c>
      <c r="AB9" s="26">
        <f t="shared" si="2"/>
        <v>115</v>
      </c>
    </row>
    <row r="10" ht="15.75" customHeight="1">
      <c r="A10" s="9">
        <v>81.0</v>
      </c>
      <c r="B10" s="9" t="s">
        <v>54</v>
      </c>
      <c r="C10" s="9" t="s">
        <v>55</v>
      </c>
      <c r="D10" s="10" t="s">
        <v>30</v>
      </c>
      <c r="E10" s="11" t="s">
        <v>56</v>
      </c>
      <c r="F10" s="12">
        <v>65.39</v>
      </c>
      <c r="G10" s="12">
        <f>F10-'Estatística'!$D$6/'Estatística'!$D$10</f>
        <v>64.38698037</v>
      </c>
      <c r="H10" s="13">
        <v>44928.0</v>
      </c>
      <c r="I10" s="14" t="str">
        <f t="shared" si="1"/>
        <v>jan.</v>
      </c>
      <c r="J10" s="18"/>
      <c r="K10" s="18" t="s">
        <v>57</v>
      </c>
      <c r="L10" s="26">
        <f>COUNTIFS(H:H,"&gt;=01/08/2023",H:H,"&lt;=31/08/2023")</f>
        <v>180</v>
      </c>
      <c r="O10" s="8" t="s">
        <v>52</v>
      </c>
      <c r="P10" s="26">
        <f t="array" ref="P10">COUNTIFS(E:E,"RENT3",H:H,"&gt;=01/01/2023",H:H,"&lt;=31/01/2023")</f>
        <v>10</v>
      </c>
      <c r="Q10" s="26">
        <f t="array" ref="Q10">COUNTIFS(E:E,"RENT3",H:H,"&gt;=01/02/2023",H:H,"&lt;=28/02/2023")</f>
        <v>10</v>
      </c>
      <c r="R10" s="26">
        <f t="array" ref="R10">COUNTIFS(E:E,"RENT3",H:H,"&gt;=01/03/2023",H:H,"&lt;=31/03/2023")</f>
        <v>6</v>
      </c>
      <c r="S10" s="26">
        <f t="array" ref="S10">COUNTIFS(E:E,"RENT3",H:H,"&gt;=01/04/2023",H:H,"&lt;=30/04/2023")</f>
        <v>13</v>
      </c>
      <c r="T10" s="26">
        <f t="array" ref="T10">COUNTIFS(E:E,"RENT3",H:H,"&gt;=01/05/2023",H:H,"&lt;=31/05/2023")</f>
        <v>9</v>
      </c>
      <c r="U10" s="26">
        <f t="array" ref="U10">COUNTIFS(E:E,"RENT3",H:H,"&gt;=01/06/2023",H:H,"&lt;=30/06/2023")</f>
        <v>7</v>
      </c>
      <c r="V10" s="26">
        <f t="array" ref="V10">COUNTIFS(E:E,"RENT3",H:H,"&gt;=01/07/2023",H:H,"&lt;=31/07/2023")</f>
        <v>7</v>
      </c>
      <c r="W10" s="26">
        <f t="array" ref="W10">COUNTIFS(E:E,"RENT3",H:H,"&gt;=01/08/2023",H:H,"&lt;=31/08/2023")</f>
        <v>10</v>
      </c>
      <c r="X10" s="26">
        <f t="array" ref="X10">COUNTIFS(E:E,"RENT3",H:H,"&gt;=01/09/2023",H:H,"&lt;=30/09/2023")</f>
        <v>5</v>
      </c>
      <c r="Y10" s="26">
        <f t="array" ref="Y10">COUNTIFS(E:E,"RENT3",H:H,"&gt;=01/10/2023",H:H,"&lt;=31/10/2023")</f>
        <v>8</v>
      </c>
      <c r="Z10" s="26">
        <f t="array" ref="Z10">COUNTIFS(E:E,"RENT3",H:H,"&gt;=01/11/2023",H:H,"&lt;=30/11/2023")</f>
        <v>7</v>
      </c>
      <c r="AA10" s="26">
        <f t="array" ref="AA10">COUNTIFS(E:E,"RENT3",H:H,"&gt;=01/12/2023",H:H,"&lt;=31/12/2023")</f>
        <v>4</v>
      </c>
      <c r="AB10" s="26">
        <f t="shared" si="2"/>
        <v>96</v>
      </c>
    </row>
    <row r="11" ht="15.75" customHeight="1">
      <c r="A11" s="19">
        <v>15.0</v>
      </c>
      <c r="B11" s="19" t="s">
        <v>58</v>
      </c>
      <c r="C11" s="19" t="s">
        <v>59</v>
      </c>
      <c r="D11" s="20" t="s">
        <v>30</v>
      </c>
      <c r="E11" s="21" t="s">
        <v>60</v>
      </c>
      <c r="F11" s="22">
        <v>56.68</v>
      </c>
      <c r="G11" s="22">
        <f>F11-'Estatística'!$D$6/'Estatística'!$D$10</f>
        <v>55.67698037</v>
      </c>
      <c r="H11" s="23">
        <v>44929.0</v>
      </c>
      <c r="I11" s="24" t="str">
        <f t="shared" si="1"/>
        <v>jan.</v>
      </c>
      <c r="J11" s="18"/>
      <c r="K11" s="18" t="s">
        <v>61</v>
      </c>
      <c r="L11" s="26">
        <f>COUNTIFS(H:H,"&gt;=01/09/2023",H:H,"&lt;=30/09/2023")</f>
        <v>154</v>
      </c>
      <c r="O11" s="8" t="s">
        <v>56</v>
      </c>
      <c r="P11" s="26">
        <f t="array" ref="P11">COUNTIFS(E:E,"VALE3",H:H,"&gt;=01/01/2023",H:H,"&lt;=31/01/2023")</f>
        <v>13</v>
      </c>
      <c r="Q11" s="26">
        <f t="array" ref="Q11">COUNTIFS(E:E,"VALE3",H:H,"&gt;=01/02/2023",H:H,"&lt;=28/02/2023")</f>
        <v>5</v>
      </c>
      <c r="R11" s="26">
        <f t="array" ref="R11">COUNTIFS(E:E,"VALE3",H:H,"&gt;=01/03/2023",H:H,"&lt;=31/03/2023")</f>
        <v>7</v>
      </c>
      <c r="S11" s="26">
        <f t="array" ref="S11">COUNTIFS(E:E,"VALE3",H:H,"&gt;=01/04/2023",H:H,"&lt;=30/04/2023")</f>
        <v>10</v>
      </c>
      <c r="T11" s="26">
        <f t="array" ref="T11">COUNTIFS(E:E,"VALE3",H:H,"&gt;=01/05/2023",H:H,"&lt;=31/05/2023")</f>
        <v>8</v>
      </c>
      <c r="U11" s="26">
        <f t="array" ref="U11">COUNTIFS(E:E,"VALE3",H:H,"&gt;=01/06/2023",H:H,"&lt;=30/06/2023")</f>
        <v>5</v>
      </c>
      <c r="V11" s="26">
        <f t="array" ref="V11">COUNTIFS(E:E,"VALE3",H:H,"&gt;=01/07/2023",H:H,"&lt;=31/07/2023")</f>
        <v>9</v>
      </c>
      <c r="W11" s="26">
        <f t="array" ref="W11">COUNTIFS(E:E,"VALE3",H:H,"&gt;=01/08/2023",H:H,"&lt;=31/08/2023")</f>
        <v>7</v>
      </c>
      <c r="X11" s="26">
        <f t="array" ref="X11">COUNTIFS(E:E,"VALE3",H:H,"&gt;=01/09/2023",H:H,"&lt;=30/09/2023")</f>
        <v>6</v>
      </c>
      <c r="Y11" s="26">
        <f t="array" ref="Y11">COUNTIFS(E:E,"VALE3",H:H,"&gt;=01/10/2023",H:H,"&lt;=31/10/2023")</f>
        <v>9</v>
      </c>
      <c r="Z11" s="26">
        <f t="array" ref="Z11">COUNTIFS(E:E,"VALE3",H:H,"&gt;=01/11/2023",H:H,"&lt;=30/11/2023")</f>
        <v>6</v>
      </c>
      <c r="AA11" s="26">
        <f t="array" ref="AA11">COUNTIFS(E:E,"VALE3",H:H,"&gt;=01/12/2023",H:H,"&lt;=31/12/2023")</f>
        <v>12</v>
      </c>
      <c r="AB11" s="26">
        <f t="shared" si="2"/>
        <v>97</v>
      </c>
    </row>
    <row r="12" ht="15.75" customHeight="1">
      <c r="A12" s="9">
        <v>86.0</v>
      </c>
      <c r="B12" s="9" t="s">
        <v>62</v>
      </c>
      <c r="C12" s="9" t="s">
        <v>63</v>
      </c>
      <c r="D12" s="10" t="s">
        <v>30</v>
      </c>
      <c r="E12" s="11" t="s">
        <v>39</v>
      </c>
      <c r="F12" s="12">
        <v>26.99</v>
      </c>
      <c r="G12" s="12">
        <f>F12-'Estatística'!$D$6/'Estatística'!$D$10</f>
        <v>25.98698037</v>
      </c>
      <c r="H12" s="13">
        <v>44929.0</v>
      </c>
      <c r="I12" s="14" t="str">
        <f t="shared" si="1"/>
        <v>jan.</v>
      </c>
      <c r="J12" s="18"/>
      <c r="K12" s="18" t="s">
        <v>64</v>
      </c>
      <c r="L12" s="26">
        <f>COUNTIFS(H:H,"&gt;=01/10/2023",H:H,"&lt;=31/10/2023")</f>
        <v>156</v>
      </c>
      <c r="O12" s="8" t="s">
        <v>60</v>
      </c>
      <c r="P12" s="26">
        <f t="array" ref="P12">COUNTIFS(E:E,"BBAS3",H:H,"&gt;=01/01/2023",H:H,"&lt;=31/01/2023")</f>
        <v>9</v>
      </c>
      <c r="Q12" s="26">
        <f t="array" ref="Q12">COUNTIFS(E:E,"BBAS3",H:H,"&gt;=01/02/2023",H:H,"&lt;=28/02/2023")</f>
        <v>8</v>
      </c>
      <c r="R12" s="26">
        <f t="array" ref="R12">COUNTIFS(E:E,"BBAS3",H:H,"&gt;=01/03/2023",H:H,"&lt;=31/03/2023")</f>
        <v>3</v>
      </c>
      <c r="S12" s="26">
        <f t="array" ref="S12">COUNTIFS(E:E,"BBAS3",H:H,"&gt;=01/04/2023",H:H,"&lt;=30/04/2023")</f>
        <v>3</v>
      </c>
      <c r="T12" s="26">
        <f t="array" ref="T12">COUNTIFS(E:E,"BBAS3",H:H,"&gt;=01/05/2023",H:H,"&lt;=31/05/2023")</f>
        <v>9</v>
      </c>
      <c r="U12" s="26">
        <f t="array" ref="U12">COUNTIFS(E:E,"BBAS3",H:H,"&gt;=01/06/2023",H:H,"&lt;=30/06/2023")</f>
        <v>3</v>
      </c>
      <c r="V12" s="26">
        <f t="array" ref="V12">COUNTIFS(E:E,"BBAS3",H:H,"&gt;=01/07/2023",H:H,"&lt;=31/07/2023")</f>
        <v>8</v>
      </c>
      <c r="W12" s="26">
        <f t="array" ref="W12">COUNTIFS(E:E,"BBAS3",H:H,"&gt;=01/08/2023",H:H,"&lt;=31/08/2023")</f>
        <v>9</v>
      </c>
      <c r="X12" s="26">
        <f t="array" ref="X12">COUNTIFS(E:E,"BBAS3",H:H,"&gt;=01/09/2023",H:H,"&lt;=30/09/2023")</f>
        <v>9</v>
      </c>
      <c r="Y12" s="26">
        <f t="array" ref="Y12">COUNTIFS(E:E,"BBAS3",H:H,"&gt;=01/10/2023",H:H,"&lt;=31/10/2023")</f>
        <v>6</v>
      </c>
      <c r="Z12" s="26">
        <f t="array" ref="Z12">COUNTIFS(E:E,"BBAS3",H:H,"&gt;=01/11/2023",H:H,"&lt;=30/11/2023")</f>
        <v>14</v>
      </c>
      <c r="AA12" s="26">
        <f t="array" ref="AA12">COUNTIFS(E:E,"BBAS3",H:H,"&gt;=01/12/2023",H:H,"&lt;=31/12/2023")</f>
        <v>6</v>
      </c>
      <c r="AB12" s="26">
        <f t="shared" si="2"/>
        <v>87</v>
      </c>
    </row>
    <row r="13" ht="15.75" customHeight="1">
      <c r="A13" s="19">
        <v>60.0</v>
      </c>
      <c r="B13" s="19" t="s">
        <v>65</v>
      </c>
      <c r="C13" s="19" t="s">
        <v>66</v>
      </c>
      <c r="D13" s="20" t="s">
        <v>30</v>
      </c>
      <c r="E13" s="21" t="s">
        <v>56</v>
      </c>
      <c r="F13" s="22">
        <v>78.94</v>
      </c>
      <c r="G13" s="22">
        <f>F13-'Estatística'!$D$6/'Estatística'!$D$10</f>
        <v>77.93698037</v>
      </c>
      <c r="H13" s="23">
        <v>44929.0</v>
      </c>
      <c r="I13" s="24" t="str">
        <f t="shared" si="1"/>
        <v>jan.</v>
      </c>
      <c r="J13" s="18"/>
      <c r="K13" s="18" t="s">
        <v>67</v>
      </c>
      <c r="L13" s="26">
        <f>COUNTIFS(H:H,"&gt;=01/11/2023",H:H,"&lt;=30/11/2023")</f>
        <v>185</v>
      </c>
      <c r="O13" s="8" t="s">
        <v>68</v>
      </c>
      <c r="P13" s="26">
        <f t="array" ref="P13">COUNTIFS(E:E,"BHIA3",H:H,"&gt;=01/01/2023",H:H,"&lt;=31/01/2023")</f>
        <v>10</v>
      </c>
      <c r="Q13" s="26">
        <f t="array" ref="Q13">COUNTIFS(E:E,"BHIA3",H:H,"&gt;=01/02/2023",H:H,"&lt;=28/02/2023")</f>
        <v>7</v>
      </c>
      <c r="R13" s="26">
        <f t="array" ref="R13">COUNTIFS(E:E,"BHIA3",H:H,"&gt;=01/03/2023",H:H,"&lt;=31/03/2023")</f>
        <v>9</v>
      </c>
      <c r="S13" s="26">
        <f t="array" ref="S13">COUNTIFS(E:E,"BHIA3",H:H,"&gt;=01/04/2023",H:H,"&lt;=30/04/2023")</f>
        <v>8</v>
      </c>
      <c r="T13" s="26">
        <f t="array" ref="T13">COUNTIFS(E:E,"BHIA3",H:H,"&gt;=01/05/2023",H:H,"&lt;=31/05/2023")</f>
        <v>12</v>
      </c>
      <c r="U13" s="26">
        <f t="array" ref="U13">COUNTIFS(E:E,"BHIA3",H:H,"&gt;=01/06/2023",H:H,"&lt;=30/06/2023")</f>
        <v>10</v>
      </c>
      <c r="V13" s="26">
        <f t="array" ref="V13">COUNTIFS(E:E,"BHIA3",H:H,"&gt;=01/07/2023",H:H,"&lt;=31/07/2023")</f>
        <v>7</v>
      </c>
      <c r="W13" s="26">
        <f t="array" ref="W13">COUNTIFS(E:E,"BHIA3",H:H,"&gt;=01/08/2023",H:H,"&lt;=31/08/2023")</f>
        <v>8</v>
      </c>
      <c r="X13" s="26">
        <f t="array" ref="X13">COUNTIFS(E:E,"BHIA3",H:H,"&gt;=01/09/2023",H:H,"&lt;=30/09/2023")</f>
        <v>6</v>
      </c>
      <c r="Y13" s="26">
        <f t="array" ref="Y13">COUNTIFS(E:E,"BHIA3",H:H,"&gt;=01/10/2023",H:H,"&lt;=31/10/2023")</f>
        <v>4</v>
      </c>
      <c r="Z13" s="26">
        <f t="array" ref="Z13">COUNTIFS(E:E,"BHIA3",H:H,"&gt;=01/11/2023",H:H,"&lt;=30/11/2023")</f>
        <v>10</v>
      </c>
      <c r="AA13" s="26">
        <f t="array" ref="AA13">COUNTIFS(E:E,"BHIA3",H:H,"&gt;=01/12/2023",H:H,"&lt;=31/12/2023")</f>
        <v>8</v>
      </c>
      <c r="AB13" s="26">
        <f t="shared" si="2"/>
        <v>99</v>
      </c>
    </row>
    <row r="14" ht="15.75" customHeight="1">
      <c r="A14" s="9">
        <v>97.0</v>
      </c>
      <c r="B14" s="9" t="s">
        <v>69</v>
      </c>
      <c r="C14" s="9" t="s">
        <v>70</v>
      </c>
      <c r="D14" s="10" t="s">
        <v>30</v>
      </c>
      <c r="E14" s="11" t="s">
        <v>50</v>
      </c>
      <c r="F14" s="12">
        <v>30.19</v>
      </c>
      <c r="G14" s="12">
        <f>F14-'Estatística'!$D$6/'Estatística'!$D$10</f>
        <v>29.18698037</v>
      </c>
      <c r="H14" s="13">
        <v>44929.0</v>
      </c>
      <c r="I14" s="14" t="str">
        <f t="shared" si="1"/>
        <v>jan.</v>
      </c>
      <c r="J14" s="18"/>
      <c r="K14" s="18" t="s">
        <v>71</v>
      </c>
      <c r="L14" s="26">
        <f>COUNTIFS(H:H,"&gt;=01/12/2023",H:H,"&lt;=31/12/2023")</f>
        <v>187</v>
      </c>
      <c r="O14" s="8" t="s">
        <v>72</v>
      </c>
      <c r="P14" s="26">
        <f t="array" ref="P14">COUNTIFS(E:E,"JBSS3",H:H,"&gt;=01/01/2023",H:H,"&lt;=31/01/2023")</f>
        <v>6</v>
      </c>
      <c r="Q14" s="26">
        <f t="array" ref="Q14">COUNTIFS(E:E,"JBSS3",H:H,"&gt;=01/02/2023",H:H,"&lt;=28/02/2023")</f>
        <v>8</v>
      </c>
      <c r="R14" s="26">
        <f t="array" ref="R14">COUNTIFS(E:E,"JBSS3",H:H,"&gt;=01/03/2023",H:H,"&lt;=31/03/2023")</f>
        <v>9</v>
      </c>
      <c r="S14" s="26">
        <f t="array" ref="S14">COUNTIFS(E:E,"JBSS3",H:H,"&gt;=01/04/2023",H:H,"&lt;=30/04/2023")</f>
        <v>8</v>
      </c>
      <c r="T14" s="26">
        <f t="array" ref="T14">COUNTIFS(E:E,"JBSS3",H:H,"&gt;=01/05/2023",H:H,"&lt;=31/05/2023")</f>
        <v>10</v>
      </c>
      <c r="U14" s="26">
        <f t="array" ref="U14">COUNTIFS(E:E,"JBSS3",H:H,"&gt;=01/06/2023",H:H,"&lt;=30/06/2023")</f>
        <v>14</v>
      </c>
      <c r="V14" s="26">
        <f t="array" ref="V14">COUNTIFS(E:E,"JBSS3",H:H,"&gt;=01/07/2023",H:H,"&lt;=31/07/2023")</f>
        <v>6</v>
      </c>
      <c r="W14" s="26">
        <f t="array" ref="W14">COUNTIFS(E:E,"JBSS3",H:H,"&gt;=01/08/2023",H:H,"&lt;=31/08/2023")</f>
        <v>10</v>
      </c>
      <c r="X14" s="26">
        <f t="array" ref="X14">COUNTIFS(E:E,"JBSS3",H:H,"&gt;=01/09/2023",H:H,"&lt;=30/09/2023")</f>
        <v>3</v>
      </c>
      <c r="Y14" s="26">
        <f t="array" ref="Y14">COUNTIFS(E:E,"JBSS3",H:H,"&gt;=01/10/2023",H:H,"&lt;=31/10/2023")</f>
        <v>11</v>
      </c>
      <c r="Z14" s="26">
        <f t="array" ref="Z14">COUNTIFS(E:E,"JBSS3",H:H,"&gt;=01/11/2023",H:H,"&lt;=30/11/2023")</f>
        <v>6</v>
      </c>
      <c r="AA14" s="26">
        <f t="array" ref="AA14">COUNTIFS(E:E,"JBSS3",H:H,"&gt;=01/12/2023",H:H,"&lt;=31/12/2023")</f>
        <v>9</v>
      </c>
      <c r="AB14" s="26">
        <f t="shared" si="2"/>
        <v>100</v>
      </c>
    </row>
    <row r="15" ht="15.75" customHeight="1">
      <c r="A15" s="19">
        <v>99.0</v>
      </c>
      <c r="B15" s="19" t="s">
        <v>73</v>
      </c>
      <c r="C15" s="19" t="s">
        <v>74</v>
      </c>
      <c r="D15" s="20" t="s">
        <v>30</v>
      </c>
      <c r="E15" s="21" t="s">
        <v>68</v>
      </c>
      <c r="F15" s="22">
        <v>10.91</v>
      </c>
      <c r="G15" s="22">
        <f>F15-'Estatística'!$D$6/'Estatística'!$D$10</f>
        <v>9.906980371</v>
      </c>
      <c r="H15" s="23">
        <v>44930.0</v>
      </c>
      <c r="I15" s="24" t="str">
        <f t="shared" si="1"/>
        <v>jan.</v>
      </c>
      <c r="J15" s="15"/>
      <c r="K15" s="15" t="s">
        <v>75</v>
      </c>
      <c r="L15" s="26">
        <f>SUM(L3:L14)</f>
        <v>2000</v>
      </c>
      <c r="O15" s="8" t="s">
        <v>76</v>
      </c>
      <c r="P15" s="26">
        <f t="array" ref="P15">COUNTIFS(E:E,"TAEE4",H:H,"&gt;=01/01/2023",H:H,"&lt;=31/01/2023")</f>
        <v>8</v>
      </c>
      <c r="Q15" s="26">
        <f t="array" ref="Q15">COUNTIFS(E:E,"TAEE4",H:H,"&gt;=01/02/2023",H:H,"&lt;=28/02/2023")</f>
        <v>8</v>
      </c>
      <c r="R15" s="26">
        <f t="array" ref="R15">COUNTIFS(E:E,"TAEE4",H:H,"&gt;=01/03/2023",H:H,"&lt;=31/03/2023")</f>
        <v>3</v>
      </c>
      <c r="S15" s="26">
        <f t="array" ref="S15">COUNTIFS(E:E,"TAEE4",H:H,"&gt;=01/04/2023",H:H,"&lt;=30/04/2023")</f>
        <v>6</v>
      </c>
      <c r="T15" s="26">
        <f t="array" ref="T15">COUNTIFS(E:E,"TAEE4",H:H,"&gt;=01/05/2023",H:H,"&lt;=31/05/2023")</f>
        <v>2</v>
      </c>
      <c r="U15" s="26">
        <f t="array" ref="U15">COUNTIFS(E:E,"TAEE4",H:H,"&gt;=01/06/2023",H:H,"&lt;=30/06/2023")</f>
        <v>9</v>
      </c>
      <c r="V15" s="26">
        <f t="array" ref="V15">COUNTIFS(E:E,"TAEE4",H:H,"&gt;=01/07/2023",H:H,"&lt;=31/07/2023")</f>
        <v>9</v>
      </c>
      <c r="W15" s="26">
        <f t="array" ref="W15">COUNTIFS(E:E,"TAEE4",H:H,"&gt;=01/08/2023",H:H,"&lt;=31/08/2023")</f>
        <v>4</v>
      </c>
      <c r="X15" s="26">
        <f t="array" ref="X15">COUNTIFS(E:E,"TAEE4",H:H,"&gt;=01/09/2023",H:H,"&lt;=30/09/2023")</f>
        <v>6</v>
      </c>
      <c r="Y15" s="26">
        <f t="array" ref="Y15">COUNTIFS(E:E,"TAEE4",H:H,"&gt;=01/10/2023",H:H,"&lt;=31/10/2023")</f>
        <v>5</v>
      </c>
      <c r="Z15" s="26">
        <f t="array" ref="Z15">COUNTIFS(E:E,"TAEE4",H:H,"&gt;=01/11/2023",H:H,"&lt;=30/11/2023")</f>
        <v>10</v>
      </c>
      <c r="AA15" s="26">
        <f t="array" ref="AA15">COUNTIFS(E:E,"TAEE4",H:H,"&gt;=01/12/2023",H:H,"&lt;=31/12/2023")</f>
        <v>11</v>
      </c>
      <c r="AB15" s="26">
        <f t="shared" si="2"/>
        <v>81</v>
      </c>
    </row>
    <row r="16" ht="15.75" customHeight="1">
      <c r="A16" s="9">
        <v>28.0</v>
      </c>
      <c r="B16" s="9" t="s">
        <v>77</v>
      </c>
      <c r="C16" s="9" t="s">
        <v>78</v>
      </c>
      <c r="D16" s="10" t="s">
        <v>11</v>
      </c>
      <c r="E16" s="11" t="s">
        <v>50</v>
      </c>
      <c r="F16" s="12">
        <v>23.03</v>
      </c>
      <c r="G16" s="12">
        <f>F16-'Estatística'!$D$6/'Estatística'!$D$10</f>
        <v>22.02698037</v>
      </c>
      <c r="H16" s="13">
        <v>44930.0</v>
      </c>
      <c r="I16" s="14" t="str">
        <f t="shared" si="1"/>
        <v>jan.</v>
      </c>
      <c r="O16" s="8" t="s">
        <v>79</v>
      </c>
      <c r="P16" s="26">
        <f t="array" ref="P16">COUNTIFS(E:E,"CPFE3",H:H,"&gt;=01/01/2023",H:H,"&lt;=31/01/2023")</f>
        <v>5</v>
      </c>
      <c r="Q16" s="26">
        <f t="array" ref="Q16">COUNTIFS(E:E,"CPFE3",H:H,"&gt;=01/02/2023",H:H,"&lt;=28/02/2023")</f>
        <v>8</v>
      </c>
      <c r="R16" s="26">
        <f t="array" ref="R16">COUNTIFS(E:E,"CPFE3",H:H,"&gt;=01/03/2023",H:H,"&lt;=31/03/2023")</f>
        <v>5</v>
      </c>
      <c r="S16" s="26">
        <f t="array" ref="S16">COUNTIFS(E:E,"CPFE3",H:H,"&gt;=01/04/2023",H:H,"&lt;=30/04/2023")</f>
        <v>7</v>
      </c>
      <c r="T16" s="26">
        <f t="array" ref="T16">COUNTIFS(E:E,"CPFE3",H:H,"&gt;=01/05/2023",H:H,"&lt;=31/05/2023")</f>
        <v>7</v>
      </c>
      <c r="U16" s="26">
        <f t="array" ref="U16">COUNTIFS(E:E,"CPFE3",H:H,"&gt;=01/06/2023",H:H,"&lt;=30/06/2023")</f>
        <v>4</v>
      </c>
      <c r="V16" s="26">
        <f t="array" ref="V16">COUNTIFS(E:E,"CPFE3",H:H,"&gt;=01/07/2023",H:H,"&lt;=31/07/2023")</f>
        <v>14</v>
      </c>
      <c r="W16" s="26">
        <f t="array" ref="W16">COUNTIFS(E:E,"CPFE3",H:H,"&gt;=01/08/2023",H:H,"&lt;=31/08/2023")</f>
        <v>7</v>
      </c>
      <c r="X16" s="26">
        <f t="array" ref="X16">COUNTIFS(E:E,"CPFE3",H:H,"&gt;=01/09/2023",H:H,"&lt;=30/09/2023")</f>
        <v>5</v>
      </c>
      <c r="Y16" s="26">
        <f t="array" ref="Y16">COUNTIFS(E:E,"CPFE3",H:H,"&gt;=01/10/2023",H:H,"&lt;=31/10/2023")</f>
        <v>7</v>
      </c>
      <c r="Z16" s="26">
        <f t="array" ref="Z16">COUNTIFS(E:E,"CPFE3",H:H,"&gt;=01/11/2023",H:H,"&lt;=30/11/2023")</f>
        <v>10</v>
      </c>
      <c r="AA16" s="26">
        <f t="array" ref="AA16">COUNTIFS(E:E,"CPFE3",H:H,"&gt;=01/12/2023",H:H,"&lt;=31/12/2023")</f>
        <v>7</v>
      </c>
      <c r="AB16" s="26">
        <f t="shared" si="2"/>
        <v>86</v>
      </c>
    </row>
    <row r="17" ht="15.75" customHeight="1">
      <c r="A17" s="19">
        <v>3.0</v>
      </c>
      <c r="B17" s="19" t="s">
        <v>80</v>
      </c>
      <c r="C17" s="19" t="s">
        <v>81</v>
      </c>
      <c r="D17" s="20" t="s">
        <v>11</v>
      </c>
      <c r="E17" s="21" t="s">
        <v>35</v>
      </c>
      <c r="F17" s="22">
        <v>20.41</v>
      </c>
      <c r="G17" s="22">
        <f>F17-'Estatística'!$D$6/'Estatística'!$D$10</f>
        <v>19.40698037</v>
      </c>
      <c r="H17" s="23">
        <v>44930.0</v>
      </c>
      <c r="I17" s="24" t="str">
        <f t="shared" si="1"/>
        <v>jan.</v>
      </c>
      <c r="O17" s="8" t="s">
        <v>82</v>
      </c>
      <c r="P17" s="26">
        <f t="array" ref="P17">COUNTIFS(E:E,"B3SA3",H:H,"&gt;=01/01/2023",H:H,"&lt;=31/01/2023")</f>
        <v>6</v>
      </c>
      <c r="Q17" s="26">
        <f t="array" ref="Q17">COUNTIFS(E:E,"B3SA3",H:H,"&gt;=01/02/2023",H:H,"&lt;=28/02/2023")</f>
        <v>3</v>
      </c>
      <c r="R17" s="26">
        <f t="array" ref="R17">COUNTIFS(E:E,"B3SA3",H:H,"&gt;=01/03/2023",H:H,"&lt;=31/03/2023")</f>
        <v>6</v>
      </c>
      <c r="S17" s="26">
        <f t="array" ref="S17">COUNTIFS(E:E,"B3SA3",H:H,"&gt;=01/04/2023",H:H,"&lt;=30/04/2023")</f>
        <v>11</v>
      </c>
      <c r="T17" s="26">
        <f t="array" ref="T17">COUNTIFS(E:E,"B3SA3",H:H,"&gt;=01/05/2023",H:H,"&lt;=31/05/2023")</f>
        <v>8</v>
      </c>
      <c r="U17" s="26">
        <f t="array" ref="U17">COUNTIFS(E:E,"B3SA3",H:H,"&gt;=01/06/2023",H:H,"&lt;=30/06/2023")</f>
        <v>9</v>
      </c>
      <c r="V17" s="26">
        <f t="array" ref="V17">COUNTIFS(E:E,"B3SA3",H:H,"&gt;=01/07/2023",H:H,"&lt;=31/07/2023")</f>
        <v>6</v>
      </c>
      <c r="W17" s="26">
        <f t="array" ref="W17">COUNTIFS(E:E,"B3SA3",H:H,"&gt;=01/08/2023",H:H,"&lt;=31/08/2023")</f>
        <v>11</v>
      </c>
      <c r="X17" s="26">
        <f t="array" ref="X17">COUNTIFS(E:E,"B3SA3",H:H,"&gt;=01/09/2023",H:H,"&lt;=30/09/2023")</f>
        <v>9</v>
      </c>
      <c r="Y17" s="26">
        <f t="array" ref="Y17">COUNTIFS(E:E,"B3SA3",H:H,"&gt;=01/10/2023",H:H,"&lt;=31/10/2023")</f>
        <v>9</v>
      </c>
      <c r="Z17" s="26">
        <f t="array" ref="Z17">COUNTIFS(E:E,"B3SA3",H:H,"&gt;=01/11/2023",H:H,"&lt;=30/11/2023")</f>
        <v>9</v>
      </c>
      <c r="AA17" s="26">
        <f t="array" ref="AA17">COUNTIFS(E:E,"B3SA3",H:H,"&gt;=01/12/2023",H:H,"&lt;=31/12/2023")</f>
        <v>13</v>
      </c>
      <c r="AB17" s="26">
        <f t="shared" si="2"/>
        <v>100</v>
      </c>
    </row>
    <row r="18" ht="15.75" customHeight="1">
      <c r="A18" s="9">
        <v>2.0</v>
      </c>
      <c r="B18" s="9" t="s">
        <v>83</v>
      </c>
      <c r="C18" s="9" t="s">
        <v>84</v>
      </c>
      <c r="D18" s="10" t="s">
        <v>11</v>
      </c>
      <c r="E18" s="11" t="s">
        <v>56</v>
      </c>
      <c r="F18" s="12">
        <v>69.74</v>
      </c>
      <c r="G18" s="12">
        <f>F18-'Estatística'!$D$6/'Estatística'!$D$10</f>
        <v>68.73698037</v>
      </c>
      <c r="H18" s="13">
        <v>44930.0</v>
      </c>
      <c r="I18" s="14" t="str">
        <f t="shared" si="1"/>
        <v>jan.</v>
      </c>
      <c r="O18" s="8" t="s">
        <v>85</v>
      </c>
      <c r="P18" s="26">
        <f t="array" ref="P18">COUNTIFS(E:E,"BBDC4",H:H,"&gt;=01/01/2023",H:H,"&lt;=31/01/2023")</f>
        <v>4</v>
      </c>
      <c r="Q18" s="26">
        <f t="array" ref="Q18">COUNTIFS(E:E,"BBDC4",H:H,"&gt;=01/02/2023",H:H,"&lt;=28/02/2023")</f>
        <v>7</v>
      </c>
      <c r="R18" s="26">
        <f t="array" ref="R18">COUNTIFS(E:E,"BBDC4",H:H,"&gt;=01/03/2023",H:H,"&lt;=31/03/2023")</f>
        <v>9</v>
      </c>
      <c r="S18" s="26">
        <f t="array" ref="S18">COUNTIFS(E:E,"BBDC4",H:H,"&gt;=01/04/2023",H:H,"&lt;=30/04/2023")</f>
        <v>6</v>
      </c>
      <c r="T18" s="26">
        <f t="array" ref="T18">COUNTIFS(E:E,"BBDC4",H:H,"&gt;=01/05/2023",H:H,"&lt;=31/05/2023")</f>
        <v>7</v>
      </c>
      <c r="U18" s="26">
        <f t="array" ref="U18">COUNTIFS(E:E,"BBDC4",H:H,"&gt;=01/06/2023",H:H,"&lt;=30/06/2023")</f>
        <v>10</v>
      </c>
      <c r="V18" s="26">
        <f t="array" ref="V18">COUNTIFS(E:E,"BBDC4",H:H,"&gt;=01/07/2023",H:H,"&lt;=31/07/2023")</f>
        <v>5</v>
      </c>
      <c r="W18" s="26">
        <f t="array" ref="W18">COUNTIFS(E:E,"BBDC4",H:H,"&gt;=01/08/2023",H:H,"&lt;=31/08/2023")</f>
        <v>8</v>
      </c>
      <c r="X18" s="26">
        <f t="array" ref="X18">COUNTIFS(E:E,"BBDC4",H:H,"&gt;=01/09/2023",H:H,"&lt;=30/09/2023")</f>
        <v>7</v>
      </c>
      <c r="Y18" s="26">
        <f t="array" ref="Y18">COUNTIFS(E:E,"BBDC4",H:H,"&gt;=01/10/2023",H:H,"&lt;=31/10/2023")</f>
        <v>11</v>
      </c>
      <c r="Z18" s="26">
        <f t="array" ref="Z18">COUNTIFS(E:E,"BBDC4",H:H,"&gt;=01/11/2023",H:H,"&lt;=30/11/2023")</f>
        <v>15</v>
      </c>
      <c r="AA18" s="26">
        <f t="array" ref="AA18">COUNTIFS(E:E,"BBDC4",H:H,"&gt;=01/12/2023",H:H,"&lt;=31/12/2023")</f>
        <v>15</v>
      </c>
      <c r="AB18" s="26">
        <f t="shared" si="2"/>
        <v>104</v>
      </c>
    </row>
    <row r="19" ht="15.75" customHeight="1">
      <c r="A19" s="19">
        <v>54.0</v>
      </c>
      <c r="B19" s="19" t="s">
        <v>86</v>
      </c>
      <c r="C19" s="19" t="s">
        <v>87</v>
      </c>
      <c r="D19" s="20" t="s">
        <v>30</v>
      </c>
      <c r="E19" s="21" t="s">
        <v>72</v>
      </c>
      <c r="F19" s="22">
        <v>16.26</v>
      </c>
      <c r="G19" s="22">
        <f>F19-'Estatística'!$D$6/'Estatística'!$D$10</f>
        <v>15.25698037</v>
      </c>
      <c r="H19" s="23">
        <v>44930.0</v>
      </c>
      <c r="I19" s="24" t="str">
        <f t="shared" si="1"/>
        <v>jan.</v>
      </c>
      <c r="O19" s="8" t="s">
        <v>88</v>
      </c>
      <c r="P19" s="26">
        <f t="array" ref="P19">COUNTIFS(E:E,"WEGE3",H:H,"&gt;=01/01/2023",H:H,"&lt;=31/01/2023")</f>
        <v>9</v>
      </c>
      <c r="Q19" s="26">
        <f t="array" ref="Q19">COUNTIFS(E:E,"WEGE3",H:H,"&gt;=01/02/2023",H:H,"&lt;=28/02/2023")</f>
        <v>7</v>
      </c>
      <c r="R19" s="26">
        <f t="array" ref="R19">COUNTIFS(E:E,"WEGE3",H:H,"&gt;=01/03/2023",H:H,"&lt;=31/03/2023")</f>
        <v>14</v>
      </c>
      <c r="S19" s="26">
        <f t="array" ref="S19">COUNTIFS(E:E,"WEGE3",H:H,"&gt;=01/04/2023",H:H,"&lt;=30/04/2023")</f>
        <v>10</v>
      </c>
      <c r="T19" s="26">
        <f t="array" ref="T19">COUNTIFS(E:E,"WEGE3",H:H,"&gt;=01/05/2023",H:H,"&lt;=31/05/2023")</f>
        <v>14</v>
      </c>
      <c r="U19" s="26">
        <f t="array" ref="U19">COUNTIFS(E:E,"WEGE3",H:H,"&gt;=01/06/2023",H:H,"&lt;=30/06/2023")</f>
        <v>10</v>
      </c>
      <c r="V19" s="26">
        <f t="array" ref="V19">COUNTIFS(E:E,"WEGE3",H:H,"&gt;=01/07/2023",H:H,"&lt;=31/07/2023")</f>
        <v>7</v>
      </c>
      <c r="W19" s="26">
        <f t="array" ref="W19">COUNTIFS(E:E,"WEGE3",H:H,"&gt;=01/08/2023",H:H,"&lt;=31/08/2023")</f>
        <v>10</v>
      </c>
      <c r="X19" s="26">
        <f t="array" ref="X19">COUNTIFS(E:E,"WEGE3",H:H,"&gt;=01/09/2023",H:H,"&lt;=30/09/2023")</f>
        <v>13</v>
      </c>
      <c r="Y19" s="26">
        <f t="array" ref="Y19">COUNTIFS(E:E,"WEGE3",H:H,"&gt;=01/10/2023",H:H,"&lt;=31/10/2023")</f>
        <v>7</v>
      </c>
      <c r="Z19" s="26">
        <f t="array" ref="Z19">COUNTIFS(E:E,"WEGE3",H:H,"&gt;=01/11/2023",H:H,"&lt;=30/11/2023")</f>
        <v>13</v>
      </c>
      <c r="AA19" s="26">
        <f t="array" ref="AA19">COUNTIFS(E:E,"WEGE3",H:H,"&gt;=01/12/2023",H:H,"&lt;=31/12/2023")</f>
        <v>7</v>
      </c>
      <c r="AB19" s="26">
        <f t="shared" si="2"/>
        <v>121</v>
      </c>
    </row>
    <row r="20" ht="15.75" customHeight="1">
      <c r="A20" s="9">
        <v>39.0</v>
      </c>
      <c r="B20" s="9" t="s">
        <v>89</v>
      </c>
      <c r="C20" s="9" t="s">
        <v>90</v>
      </c>
      <c r="D20" s="10" t="s">
        <v>30</v>
      </c>
      <c r="E20" s="11" t="s">
        <v>31</v>
      </c>
      <c r="F20" s="12">
        <v>35.96</v>
      </c>
      <c r="G20" s="12">
        <f>F20-'Estatística'!$D$6/'Estatística'!$D$10</f>
        <v>34.95698037</v>
      </c>
      <c r="H20" s="13">
        <v>44931.0</v>
      </c>
      <c r="I20" s="14" t="str">
        <f t="shared" si="1"/>
        <v>jan.</v>
      </c>
      <c r="O20" s="8" t="s">
        <v>91</v>
      </c>
      <c r="P20" s="26">
        <f t="array" ref="P20">COUNTIFS(E:E,"MGLU3",H:H,"&gt;=01/01/2023",H:H,"&lt;=31/01/2023")</f>
        <v>8</v>
      </c>
      <c r="Q20" s="26">
        <f t="array" ref="Q20">COUNTIFS(E:E,"MGLU3",H:H,"&gt;=01/02/2023",H:H,"&lt;=28/02/2023")</f>
        <v>15</v>
      </c>
      <c r="R20" s="26">
        <f t="array" ref="R20">COUNTIFS(E:E,"MGLU3",H:H,"&gt;=01/03/2023",H:H,"&lt;=31/03/2023")</f>
        <v>5</v>
      </c>
      <c r="S20" s="26">
        <f t="array" ref="S20">COUNTIFS(E:E,"MGLU3",H:H,"&gt;=01/04/2023",H:H,"&lt;=30/04/2023")</f>
        <v>11</v>
      </c>
      <c r="T20" s="26">
        <f t="array" ref="T20">COUNTIFS(E:E,"MGLU3",H:H,"&gt;=01/05/2023",H:H,"&lt;=31/05/2023")</f>
        <v>10</v>
      </c>
      <c r="U20" s="26">
        <f t="array" ref="U20">COUNTIFS(E:E,"MGLU3",H:H,"&gt;=01/06/2023",H:H,"&lt;=30/06/2023")</f>
        <v>13</v>
      </c>
      <c r="V20" s="26">
        <f t="array" ref="V20">COUNTIFS(E:E,"MGLU3",H:H,"&gt;=01/07/2023",H:H,"&lt;=31/07/2023")</f>
        <v>10</v>
      </c>
      <c r="W20" s="26">
        <f t="array" ref="W20">COUNTIFS(E:E,"MGLU3",H:H,"&gt;=01/08/2023",H:H,"&lt;=31/08/2023")</f>
        <v>10</v>
      </c>
      <c r="X20" s="26">
        <f t="array" ref="X20">COUNTIFS(E:E,"MGLU3",H:H,"&gt;=01/09/2023",H:H,"&lt;=30/09/2023")</f>
        <v>8</v>
      </c>
      <c r="Y20" s="26">
        <f t="array" ref="Y20">COUNTIFS(E:E,"MGLU3",H:H,"&gt;=01/10/2023",H:H,"&lt;=31/10/2023")</f>
        <v>10</v>
      </c>
      <c r="Z20" s="26">
        <f t="array" ref="Z20">COUNTIFS(E:E,"MGLU3",H:H,"&gt;=01/11/2023",H:H,"&lt;=30/11/2023")</f>
        <v>6</v>
      </c>
      <c r="AA20" s="26">
        <f t="array" ref="AA20">COUNTIFS(E:E,"MGLU3",H:H,"&gt;=01/12/2023",H:H,"&lt;=31/12/2023")</f>
        <v>4</v>
      </c>
      <c r="AB20" s="26">
        <f t="shared" si="2"/>
        <v>110</v>
      </c>
    </row>
    <row r="21" ht="15.75" customHeight="1">
      <c r="A21" s="19">
        <v>36.0</v>
      </c>
      <c r="B21" s="19" t="s">
        <v>92</v>
      </c>
      <c r="C21" s="19" t="s">
        <v>93</v>
      </c>
      <c r="D21" s="20" t="s">
        <v>30</v>
      </c>
      <c r="E21" s="21" t="s">
        <v>76</v>
      </c>
      <c r="F21" s="22">
        <v>12.5</v>
      </c>
      <c r="G21" s="22">
        <f>F21-'Estatística'!$D$6/'Estatística'!$D$10</f>
        <v>11.49698037</v>
      </c>
      <c r="H21" s="23">
        <v>44931.0</v>
      </c>
      <c r="I21" s="24" t="str">
        <f t="shared" si="1"/>
        <v>jan.</v>
      </c>
      <c r="O21" s="8" t="s">
        <v>94</v>
      </c>
      <c r="P21" s="26">
        <f t="array" ref="P21">COUNTIFS(E:E,"SANB11",H:H,"&gt;=01/01/2023",H:H,"&lt;=31/01/2023")</f>
        <v>5</v>
      </c>
      <c r="Q21" s="26">
        <f t="array" ref="Q21">COUNTIFS(E:E,"SANB11",H:H,"&gt;=01/02/2023",H:H,"&lt;=28/02/2023")</f>
        <v>10</v>
      </c>
      <c r="R21" s="26">
        <f t="array" ref="R21">COUNTIFS(E:E,"SANB11",H:H,"&gt;=01/03/2023",H:H,"&lt;=31/03/2023")</f>
        <v>13</v>
      </c>
      <c r="S21" s="26">
        <f t="array" ref="S21">COUNTIFS(E:E,"SANB11",H:H,"&gt;=01/04/2023",H:H,"&lt;=30/04/2023")</f>
        <v>6</v>
      </c>
      <c r="T21" s="26">
        <f t="array" ref="T21">COUNTIFS(E:E,"SANB11",H:H,"&gt;=01/05/2023",H:H,"&lt;=31/05/2023")</f>
        <v>9</v>
      </c>
      <c r="U21" s="26">
        <f t="array" ref="U21">COUNTIFS(E:E,"SANB11",H:H,"&gt;=01/06/2023",H:H,"&lt;=30/06/2023")</f>
        <v>5</v>
      </c>
      <c r="V21" s="26">
        <f t="array" ref="V21">COUNTIFS(E:E,"SANB11",H:H,"&gt;=01/07/2023",H:H,"&lt;=31/07/2023")</f>
        <v>3</v>
      </c>
      <c r="W21" s="26">
        <f t="array" ref="W21">COUNTIFS(E:E,"SANB11",H:H,"&gt;=01/08/2023",H:H,"&lt;=31/08/2023")</f>
        <v>16</v>
      </c>
      <c r="X21" s="26">
        <f t="array" ref="X21">COUNTIFS(E:E,"SANB11",H:H,"&gt;=01/09/2023",H:H,"&lt;=30/09/2023")</f>
        <v>7</v>
      </c>
      <c r="Y21" s="26">
        <f t="array" ref="Y21">COUNTIFS(E:E,"SANB11",H:H,"&gt;=01/10/2023",H:H,"&lt;=31/10/2023")</f>
        <v>7</v>
      </c>
      <c r="Z21" s="26">
        <f t="array" ref="Z21">COUNTIFS(E:E,"SANB11",H:H,"&gt;=01/11/2023",H:H,"&lt;=30/11/2023")</f>
        <v>8</v>
      </c>
      <c r="AA21" s="26">
        <f t="array" ref="AA21">COUNTIFS(E:E,"SANB11",H:H,"&gt;=01/12/2023",H:H,"&lt;=31/12/2023")</f>
        <v>13</v>
      </c>
      <c r="AB21" s="26">
        <f t="shared" si="2"/>
        <v>102</v>
      </c>
    </row>
    <row r="22" ht="15.75" customHeight="1">
      <c r="A22" s="9">
        <v>43.0</v>
      </c>
      <c r="B22" s="9" t="s">
        <v>95</v>
      </c>
      <c r="C22" s="9" t="s">
        <v>96</v>
      </c>
      <c r="D22" s="10" t="s">
        <v>11</v>
      </c>
      <c r="E22" s="11" t="s">
        <v>79</v>
      </c>
      <c r="F22" s="12">
        <v>38.93</v>
      </c>
      <c r="G22" s="12">
        <f>F22-'Estatística'!$D$6/'Estatística'!$D$10</f>
        <v>37.92698037</v>
      </c>
      <c r="H22" s="13">
        <v>44931.0</v>
      </c>
      <c r="I22" s="14" t="str">
        <f t="shared" si="1"/>
        <v>jan.</v>
      </c>
      <c r="O22" s="8" t="s">
        <v>97</v>
      </c>
      <c r="P22" s="26">
        <f t="array" ref="P22">COUNTIFS(E:E,"HAPV3",H:H,"&gt;=01/01/2023",H:H,"&lt;=31/01/2023")</f>
        <v>7</v>
      </c>
      <c r="Q22" s="26">
        <f t="array" ref="Q22">COUNTIFS(E:E,"HAPV3",H:H,"&gt;=01/02/2023",H:H,"&lt;=28/02/2023")</f>
        <v>12</v>
      </c>
      <c r="R22" s="26">
        <f t="array" ref="R22">COUNTIFS(E:E,"HAPV3",H:H,"&gt;=01/03/2023",H:H,"&lt;=31/03/2023")</f>
        <v>8</v>
      </c>
      <c r="S22" s="26">
        <f t="array" ref="S22">COUNTIFS(E:E,"HAPV3",H:H,"&gt;=01/04/2023",H:H,"&lt;=30/04/2023")</f>
        <v>8</v>
      </c>
      <c r="T22" s="26">
        <f t="array" ref="T22">COUNTIFS(E:E,"HAPV3",H:H,"&gt;=01/05/2023",H:H,"&lt;=31/05/2023")</f>
        <v>6</v>
      </c>
      <c r="U22" s="26">
        <f t="array" ref="U22">COUNTIFS(E:E,"HAPV3",H:H,"&gt;=01/06/2023",H:H,"&lt;=30/06/2023")</f>
        <v>12</v>
      </c>
      <c r="V22" s="26">
        <f t="array" ref="V22">COUNTIFS(E:E,"HAPV3",H:H,"&gt;=01/07/2023",H:H,"&lt;=31/07/2023")</f>
        <v>10</v>
      </c>
      <c r="W22" s="26">
        <f t="array" ref="W22">COUNTIFS(E:E,"HAPV3",H:H,"&gt;=01/08/2023",H:H,"&lt;=31/08/2023")</f>
        <v>13</v>
      </c>
      <c r="X22" s="26">
        <f t="array" ref="X22">COUNTIFS(E:E,"HAPV3",H:H,"&gt;=01/09/2023",H:H,"&lt;=30/09/2023")</f>
        <v>17</v>
      </c>
      <c r="Y22" s="26">
        <f t="array" ref="Y22">COUNTIFS(E:E,"HAPV3",H:H,"&gt;=01/10/2023",H:H,"&lt;=31/10/2023")</f>
        <v>6</v>
      </c>
      <c r="Z22" s="26">
        <f t="array" ref="Z22">COUNTIFS(E:E,"HAPV3",H:H,"&gt;=01/11/2023",H:H,"&lt;=30/11/2023")</f>
        <v>7</v>
      </c>
      <c r="AA22" s="26">
        <f t="array" ref="AA22">COUNTIFS(E:E,"HAPV3",H:H,"&gt;=01/12/2023",H:H,"&lt;=31/12/2023")</f>
        <v>6</v>
      </c>
      <c r="AB22" s="26">
        <f t="shared" si="2"/>
        <v>112</v>
      </c>
    </row>
    <row r="23" ht="15.75" customHeight="1">
      <c r="A23" s="19">
        <v>83.0</v>
      </c>
      <c r="B23" s="19" t="s">
        <v>98</v>
      </c>
      <c r="C23" s="19" t="s">
        <v>99</v>
      </c>
      <c r="D23" s="20" t="s">
        <v>30</v>
      </c>
      <c r="E23" s="21" t="s">
        <v>52</v>
      </c>
      <c r="F23" s="22">
        <v>49.41</v>
      </c>
      <c r="G23" s="22">
        <f>F23-'Estatística'!$D$6/'Estatística'!$D$10</f>
        <v>48.40698037</v>
      </c>
      <c r="H23" s="23">
        <v>44931.0</v>
      </c>
      <c r="I23" s="24" t="str">
        <f t="shared" si="1"/>
        <v>jan.</v>
      </c>
      <c r="O23" s="8"/>
    </row>
    <row r="24" ht="15.75" customHeight="1">
      <c r="A24" s="9">
        <v>39.0</v>
      </c>
      <c r="B24" s="9" t="s">
        <v>89</v>
      </c>
      <c r="C24" s="9" t="s">
        <v>90</v>
      </c>
      <c r="D24" s="10" t="s">
        <v>30</v>
      </c>
      <c r="E24" s="11" t="s">
        <v>50</v>
      </c>
      <c r="F24" s="12">
        <v>32.28</v>
      </c>
      <c r="G24" s="12">
        <f>F24-'Estatística'!$D$6/'Estatística'!$D$10</f>
        <v>31.27698037</v>
      </c>
      <c r="H24" s="13">
        <v>44931.0</v>
      </c>
      <c r="I24" s="14" t="str">
        <f t="shared" si="1"/>
        <v>jan.</v>
      </c>
      <c r="O24" s="8"/>
      <c r="T24" s="15" t="s">
        <v>100</v>
      </c>
      <c r="U24" s="27"/>
    </row>
    <row r="25" ht="15.75" customHeight="1">
      <c r="A25" s="19">
        <v>30.0</v>
      </c>
      <c r="B25" s="19" t="s">
        <v>9</v>
      </c>
      <c r="C25" s="19" t="s">
        <v>10</v>
      </c>
      <c r="D25" s="20" t="s">
        <v>11</v>
      </c>
      <c r="E25" s="21" t="s">
        <v>60</v>
      </c>
      <c r="F25" s="22">
        <v>40.18</v>
      </c>
      <c r="G25" s="22">
        <f>F25-'Estatística'!$D$6/'Estatística'!$D$10</f>
        <v>39.17698037</v>
      </c>
      <c r="H25" s="23">
        <v>44932.0</v>
      </c>
      <c r="I25" s="24" t="str">
        <f t="shared" si="1"/>
        <v>jan.</v>
      </c>
      <c r="O25" s="8"/>
      <c r="T25" s="8" t="s">
        <v>76</v>
      </c>
      <c r="U25" s="26">
        <f>MIN(AB3:AB22)</f>
        <v>81</v>
      </c>
    </row>
    <row r="26" ht="15.75" customHeight="1">
      <c r="A26" s="9">
        <v>80.0</v>
      </c>
      <c r="B26" s="9" t="s">
        <v>37</v>
      </c>
      <c r="C26" s="9" t="s">
        <v>38</v>
      </c>
      <c r="D26" s="10" t="s">
        <v>30</v>
      </c>
      <c r="E26" s="11" t="s">
        <v>82</v>
      </c>
      <c r="F26" s="12">
        <v>10.12</v>
      </c>
      <c r="G26" s="12">
        <f>F26-'Estatística'!$D$6/'Estatística'!$D$10</f>
        <v>9.116980371</v>
      </c>
      <c r="H26" s="13">
        <v>44932.0</v>
      </c>
      <c r="I26" s="14" t="str">
        <f t="shared" si="1"/>
        <v>jan.</v>
      </c>
      <c r="O26" s="8"/>
      <c r="T26" s="15" t="s">
        <v>100</v>
      </c>
    </row>
    <row r="27" ht="15.75" customHeight="1">
      <c r="A27" s="19">
        <v>79.0</v>
      </c>
      <c r="B27" s="19" t="s">
        <v>101</v>
      </c>
      <c r="C27" s="19" t="s">
        <v>102</v>
      </c>
      <c r="D27" s="20" t="s">
        <v>11</v>
      </c>
      <c r="E27" s="21" t="s">
        <v>56</v>
      </c>
      <c r="F27" s="22">
        <v>70.26</v>
      </c>
      <c r="G27" s="22">
        <f>F27-'Estatística'!$D$6/'Estatística'!$D$10</f>
        <v>69.25698037</v>
      </c>
      <c r="H27" s="23">
        <v>44932.0</v>
      </c>
      <c r="I27" s="24" t="str">
        <f t="shared" si="1"/>
        <v>jan.</v>
      </c>
      <c r="O27" s="8"/>
      <c r="T27" s="18" t="s">
        <v>88</v>
      </c>
      <c r="U27" s="26">
        <f>MAX(AB3:AB22)</f>
        <v>121</v>
      </c>
    </row>
    <row r="28" ht="15.75" customHeight="1">
      <c r="A28" s="9">
        <v>59.0</v>
      </c>
      <c r="B28" s="9" t="s">
        <v>103</v>
      </c>
      <c r="C28" s="9" t="s">
        <v>104</v>
      </c>
      <c r="D28" s="10" t="s">
        <v>30</v>
      </c>
      <c r="E28" s="11" t="s">
        <v>56</v>
      </c>
      <c r="F28" s="12">
        <v>74.48</v>
      </c>
      <c r="G28" s="12">
        <f>F28-'Estatística'!$D$6/'Estatística'!$D$10</f>
        <v>73.47698037</v>
      </c>
      <c r="H28" s="13">
        <v>44932.0</v>
      </c>
      <c r="I28" s="14" t="str">
        <f t="shared" si="1"/>
        <v>jan.</v>
      </c>
      <c r="O28" s="8"/>
      <c r="T28" s="15" t="s">
        <v>105</v>
      </c>
    </row>
    <row r="29" ht="15.75" customHeight="1">
      <c r="A29" s="19">
        <v>61.0</v>
      </c>
      <c r="B29" s="19" t="s">
        <v>106</v>
      </c>
      <c r="C29" s="19" t="s">
        <v>107</v>
      </c>
      <c r="D29" s="20" t="s">
        <v>11</v>
      </c>
      <c r="E29" s="21" t="s">
        <v>60</v>
      </c>
      <c r="F29" s="22">
        <v>47.36</v>
      </c>
      <c r="G29" s="22">
        <f>F29-'Estatística'!$D$6/'Estatística'!$D$10</f>
        <v>46.35698037</v>
      </c>
      <c r="H29" s="23">
        <v>44932.0</v>
      </c>
      <c r="I29" s="24" t="str">
        <f t="shared" si="1"/>
        <v>jan.</v>
      </c>
      <c r="O29" s="8"/>
      <c r="T29" s="18" t="s">
        <v>82</v>
      </c>
      <c r="U29" s="26">
        <f>AVERAGE(AB3:AB22)</f>
        <v>100</v>
      </c>
    </row>
    <row r="30" ht="15.75" customHeight="1">
      <c r="A30" s="9">
        <v>8.0</v>
      </c>
      <c r="B30" s="9" t="s">
        <v>108</v>
      </c>
      <c r="C30" s="9" t="s">
        <v>109</v>
      </c>
      <c r="D30" s="10" t="s">
        <v>11</v>
      </c>
      <c r="E30" s="11" t="s">
        <v>76</v>
      </c>
      <c r="F30" s="12">
        <v>11.26</v>
      </c>
      <c r="G30" s="12">
        <f>F30-'Estatística'!$D$6/'Estatística'!$D$10</f>
        <v>10.25698037</v>
      </c>
      <c r="H30" s="13">
        <v>44932.0</v>
      </c>
      <c r="I30" s="14" t="str">
        <f t="shared" si="1"/>
        <v>jan.</v>
      </c>
      <c r="O30" s="8"/>
      <c r="T30" s="18" t="s">
        <v>72</v>
      </c>
      <c r="U30" s="26">
        <f>AVERAGE(AB3:AB22)</f>
        <v>100</v>
      </c>
    </row>
    <row r="31" ht="15.75" customHeight="1">
      <c r="A31" s="19">
        <v>86.0</v>
      </c>
      <c r="B31" s="19" t="s">
        <v>62</v>
      </c>
      <c r="C31" s="19" t="s">
        <v>63</v>
      </c>
      <c r="D31" s="20" t="s">
        <v>11</v>
      </c>
      <c r="E31" s="21" t="s">
        <v>85</v>
      </c>
      <c r="F31" s="22">
        <v>15.13</v>
      </c>
      <c r="G31" s="22">
        <f>F31-'Estatística'!$D$6/'Estatística'!$D$10</f>
        <v>14.12698037</v>
      </c>
      <c r="H31" s="23">
        <v>44933.0</v>
      </c>
      <c r="I31" s="24" t="str">
        <f t="shared" si="1"/>
        <v>jan.</v>
      </c>
      <c r="O31" s="8"/>
    </row>
    <row r="32" ht="15.75" customHeight="1">
      <c r="A32" s="9">
        <v>95.0</v>
      </c>
      <c r="B32" s="9" t="s">
        <v>110</v>
      </c>
      <c r="C32" s="9" t="s">
        <v>111</v>
      </c>
      <c r="D32" s="10" t="s">
        <v>30</v>
      </c>
      <c r="E32" s="11" t="s">
        <v>31</v>
      </c>
      <c r="F32" s="12">
        <v>54.7</v>
      </c>
      <c r="G32" s="12">
        <f>F32-'Estatística'!$D$6/'Estatística'!$D$10</f>
        <v>53.69698037</v>
      </c>
      <c r="H32" s="13">
        <v>44933.0</v>
      </c>
      <c r="I32" s="14" t="str">
        <f t="shared" si="1"/>
        <v>jan.</v>
      </c>
      <c r="O32" s="8"/>
    </row>
    <row r="33" ht="15.75" customHeight="1">
      <c r="A33" s="19">
        <v>78.0</v>
      </c>
      <c r="B33" s="19" t="s">
        <v>28</v>
      </c>
      <c r="C33" s="19" t="s">
        <v>29</v>
      </c>
      <c r="D33" s="20" t="s">
        <v>11</v>
      </c>
      <c r="E33" s="21" t="s">
        <v>88</v>
      </c>
      <c r="F33" s="22">
        <v>36.17</v>
      </c>
      <c r="G33" s="22">
        <f>F33-'Estatística'!$D$6/'Estatística'!$D$10</f>
        <v>35.16698037</v>
      </c>
      <c r="H33" s="23">
        <v>44934.0</v>
      </c>
      <c r="I33" s="24" t="str">
        <f t="shared" si="1"/>
        <v>jan.</v>
      </c>
      <c r="O33" s="8"/>
    </row>
    <row r="34" ht="15.75" customHeight="1">
      <c r="A34" s="9">
        <v>91.0</v>
      </c>
      <c r="B34" s="9" t="s">
        <v>112</v>
      </c>
      <c r="C34" s="9" t="s">
        <v>113</v>
      </c>
      <c r="D34" s="10" t="s">
        <v>30</v>
      </c>
      <c r="E34" s="11" t="s">
        <v>68</v>
      </c>
      <c r="F34" s="12">
        <v>10.29</v>
      </c>
      <c r="G34" s="12">
        <f>F34-'Estatística'!$D$6/'Estatística'!$D$10</f>
        <v>9.286980371</v>
      </c>
      <c r="H34" s="13">
        <v>44934.0</v>
      </c>
      <c r="I34" s="14" t="str">
        <f t="shared" si="1"/>
        <v>jan.</v>
      </c>
      <c r="O34" s="8"/>
    </row>
    <row r="35" ht="15.75" customHeight="1">
      <c r="A35" s="19">
        <v>7.0</v>
      </c>
      <c r="B35" s="19" t="s">
        <v>114</v>
      </c>
      <c r="C35" s="19" t="s">
        <v>115</v>
      </c>
      <c r="D35" s="20" t="s">
        <v>30</v>
      </c>
      <c r="E35" s="21" t="s">
        <v>88</v>
      </c>
      <c r="F35" s="22">
        <v>37.63</v>
      </c>
      <c r="G35" s="22">
        <f>F35-'Estatística'!$D$6/'Estatística'!$D$10</f>
        <v>36.62698037</v>
      </c>
      <c r="H35" s="23">
        <v>44934.0</v>
      </c>
      <c r="I35" s="24" t="str">
        <f t="shared" si="1"/>
        <v>jan.</v>
      </c>
      <c r="O35" s="8"/>
    </row>
    <row r="36" ht="15.75" customHeight="1">
      <c r="A36" s="9">
        <v>38.0</v>
      </c>
      <c r="B36" s="9" t="s">
        <v>116</v>
      </c>
      <c r="C36" s="9" t="s">
        <v>117</v>
      </c>
      <c r="D36" s="10" t="s">
        <v>30</v>
      </c>
      <c r="E36" s="11" t="s">
        <v>56</v>
      </c>
      <c r="F36" s="12">
        <v>72.42</v>
      </c>
      <c r="G36" s="12">
        <f>F36-'Estatística'!$D$6/'Estatística'!$D$10</f>
        <v>71.41698037</v>
      </c>
      <c r="H36" s="13">
        <v>44934.0</v>
      </c>
      <c r="I36" s="14" t="str">
        <f t="shared" si="1"/>
        <v>jan.</v>
      </c>
      <c r="O36" s="8"/>
    </row>
    <row r="37" ht="15.75" customHeight="1">
      <c r="A37" s="19">
        <v>4.0</v>
      </c>
      <c r="B37" s="19" t="s">
        <v>118</v>
      </c>
      <c r="C37" s="19" t="s">
        <v>119</v>
      </c>
      <c r="D37" s="20" t="s">
        <v>11</v>
      </c>
      <c r="E37" s="21" t="s">
        <v>56</v>
      </c>
      <c r="F37" s="22">
        <v>78.26</v>
      </c>
      <c r="G37" s="22">
        <f>F37-'Estatística'!$D$6/'Estatística'!$D$10</f>
        <v>77.25698037</v>
      </c>
      <c r="H37" s="23">
        <v>44934.0</v>
      </c>
      <c r="I37" s="24" t="str">
        <f t="shared" si="1"/>
        <v>jan.</v>
      </c>
      <c r="O37" s="8"/>
    </row>
    <row r="38" ht="15.75" customHeight="1">
      <c r="A38" s="9">
        <v>47.0</v>
      </c>
      <c r="B38" s="9" t="s">
        <v>120</v>
      </c>
      <c r="C38" s="9" t="s">
        <v>121</v>
      </c>
      <c r="D38" s="10" t="s">
        <v>30</v>
      </c>
      <c r="E38" s="11" t="s">
        <v>72</v>
      </c>
      <c r="F38" s="12">
        <v>21.55</v>
      </c>
      <c r="G38" s="12">
        <f>F38-'Estatística'!$D$6/'Estatística'!$D$10</f>
        <v>20.54698037</v>
      </c>
      <c r="H38" s="13">
        <v>44934.0</v>
      </c>
      <c r="I38" s="14" t="str">
        <f t="shared" si="1"/>
        <v>jan.</v>
      </c>
      <c r="O38" s="8"/>
    </row>
    <row r="39" ht="15.75" customHeight="1">
      <c r="A39" s="19">
        <v>48.0</v>
      </c>
      <c r="B39" s="19" t="s">
        <v>41</v>
      </c>
      <c r="C39" s="19" t="s">
        <v>45</v>
      </c>
      <c r="D39" s="20" t="s">
        <v>30</v>
      </c>
      <c r="E39" s="21" t="s">
        <v>91</v>
      </c>
      <c r="F39" s="22">
        <v>3.17</v>
      </c>
      <c r="G39" s="22">
        <f>F39-'Estatística'!$D$6/'Estatística'!$D$10</f>
        <v>2.166980371</v>
      </c>
      <c r="H39" s="23">
        <v>44934.0</v>
      </c>
      <c r="I39" s="24" t="str">
        <f t="shared" si="1"/>
        <v>jan.</v>
      </c>
      <c r="O39" s="8"/>
    </row>
    <row r="40" ht="15.75" customHeight="1">
      <c r="A40" s="9">
        <v>81.0</v>
      </c>
      <c r="B40" s="9" t="s">
        <v>54</v>
      </c>
      <c r="C40" s="9" t="s">
        <v>55</v>
      </c>
      <c r="D40" s="10" t="s">
        <v>11</v>
      </c>
      <c r="E40" s="11" t="s">
        <v>12</v>
      </c>
      <c r="F40" s="12">
        <v>10.33</v>
      </c>
      <c r="G40" s="12">
        <f>F40-'Estatística'!$D$6/'Estatística'!$D$10</f>
        <v>9.326980371</v>
      </c>
      <c r="H40" s="13">
        <v>44935.0</v>
      </c>
      <c r="I40" s="14" t="str">
        <f t="shared" si="1"/>
        <v>jan.</v>
      </c>
      <c r="O40" s="8"/>
    </row>
    <row r="41" ht="15.75" customHeight="1">
      <c r="A41" s="19">
        <v>29.0</v>
      </c>
      <c r="B41" s="19" t="s">
        <v>122</v>
      </c>
      <c r="C41" s="19" t="s">
        <v>123</v>
      </c>
      <c r="D41" s="20" t="s">
        <v>11</v>
      </c>
      <c r="E41" s="21" t="s">
        <v>68</v>
      </c>
      <c r="F41" s="22">
        <v>12.09</v>
      </c>
      <c r="G41" s="22">
        <f>F41-'Estatística'!$D$6/'Estatística'!$D$10</f>
        <v>11.08698037</v>
      </c>
      <c r="H41" s="23">
        <v>44935.0</v>
      </c>
      <c r="I41" s="24" t="str">
        <f t="shared" si="1"/>
        <v>jan.</v>
      </c>
      <c r="O41" s="8"/>
    </row>
    <row r="42" ht="15.75" customHeight="1">
      <c r="A42" s="9">
        <v>59.0</v>
      </c>
      <c r="B42" s="9" t="s">
        <v>103</v>
      </c>
      <c r="C42" s="9" t="s">
        <v>104</v>
      </c>
      <c r="D42" s="10" t="s">
        <v>11</v>
      </c>
      <c r="E42" s="11" t="s">
        <v>52</v>
      </c>
      <c r="F42" s="12">
        <v>57.22</v>
      </c>
      <c r="G42" s="12">
        <f>F42-'Estatística'!$D$6/'Estatística'!$D$10</f>
        <v>56.21698037</v>
      </c>
      <c r="H42" s="13">
        <v>44936.0</v>
      </c>
      <c r="I42" s="14" t="str">
        <f t="shared" si="1"/>
        <v>jan.</v>
      </c>
      <c r="O42" s="8"/>
    </row>
    <row r="43" ht="15.75" customHeight="1">
      <c r="A43" s="19">
        <v>60.0</v>
      </c>
      <c r="B43" s="19" t="s">
        <v>65</v>
      </c>
      <c r="C43" s="19" t="s">
        <v>66</v>
      </c>
      <c r="D43" s="20" t="s">
        <v>30</v>
      </c>
      <c r="E43" s="21" t="s">
        <v>68</v>
      </c>
      <c r="F43" s="22">
        <v>8.44</v>
      </c>
      <c r="G43" s="22">
        <f>F43-'Estatística'!$D$6/'Estatística'!$D$10</f>
        <v>7.436980371</v>
      </c>
      <c r="H43" s="23">
        <v>44936.0</v>
      </c>
      <c r="I43" s="24" t="str">
        <f t="shared" si="1"/>
        <v>jan.</v>
      </c>
      <c r="O43" s="8"/>
    </row>
    <row r="44" ht="15.75" customHeight="1">
      <c r="A44" s="9">
        <v>43.0</v>
      </c>
      <c r="B44" s="9" t="s">
        <v>95</v>
      </c>
      <c r="C44" s="9" t="s">
        <v>96</v>
      </c>
      <c r="D44" s="10" t="s">
        <v>30</v>
      </c>
      <c r="E44" s="11" t="s">
        <v>52</v>
      </c>
      <c r="F44" s="12">
        <v>46.44</v>
      </c>
      <c r="G44" s="12">
        <f>F44-'Estatística'!$D$6/'Estatística'!$D$10</f>
        <v>45.43698037</v>
      </c>
      <c r="H44" s="13">
        <v>44936.0</v>
      </c>
      <c r="I44" s="14" t="str">
        <f t="shared" si="1"/>
        <v>jan.</v>
      </c>
      <c r="O44" s="8"/>
    </row>
    <row r="45" ht="15.75" customHeight="1">
      <c r="A45" s="19">
        <v>74.0</v>
      </c>
      <c r="B45" s="19" t="s">
        <v>9</v>
      </c>
      <c r="C45" s="19" t="s">
        <v>124</v>
      </c>
      <c r="D45" s="20" t="s">
        <v>30</v>
      </c>
      <c r="E45" s="21" t="s">
        <v>72</v>
      </c>
      <c r="F45" s="22">
        <v>18.97</v>
      </c>
      <c r="G45" s="22">
        <f>F45-'Estatística'!$D$6/'Estatística'!$D$10</f>
        <v>17.96698037</v>
      </c>
      <c r="H45" s="23">
        <v>44936.0</v>
      </c>
      <c r="I45" s="24" t="str">
        <f t="shared" si="1"/>
        <v>jan.</v>
      </c>
      <c r="O45" s="8"/>
    </row>
    <row r="46" ht="15.75" customHeight="1">
      <c r="A46" s="9">
        <v>100.0</v>
      </c>
      <c r="B46" s="9" t="s">
        <v>48</v>
      </c>
      <c r="C46" s="9" t="s">
        <v>49</v>
      </c>
      <c r="D46" s="10" t="s">
        <v>30</v>
      </c>
      <c r="E46" s="11" t="s">
        <v>60</v>
      </c>
      <c r="F46" s="12">
        <v>43.3</v>
      </c>
      <c r="G46" s="12">
        <f>F46-'Estatística'!$D$6/'Estatística'!$D$10</f>
        <v>42.29698037</v>
      </c>
      <c r="H46" s="13">
        <v>44936.0</v>
      </c>
      <c r="I46" s="14" t="str">
        <f t="shared" si="1"/>
        <v>jan.</v>
      </c>
      <c r="O46" s="8"/>
    </row>
    <row r="47" ht="15.75" customHeight="1">
      <c r="A47" s="19">
        <v>35.0</v>
      </c>
      <c r="B47" s="19" t="s">
        <v>125</v>
      </c>
      <c r="C47" s="19" t="s">
        <v>126</v>
      </c>
      <c r="D47" s="20" t="s">
        <v>30</v>
      </c>
      <c r="E47" s="21" t="s">
        <v>76</v>
      </c>
      <c r="F47" s="22">
        <v>10.63</v>
      </c>
      <c r="G47" s="22">
        <f>F47-'Estatística'!$D$6/'Estatística'!$D$10</f>
        <v>9.626980371</v>
      </c>
      <c r="H47" s="23">
        <v>44937.0</v>
      </c>
      <c r="I47" s="24" t="str">
        <f t="shared" si="1"/>
        <v>jan.</v>
      </c>
      <c r="O47" s="8"/>
    </row>
    <row r="48" ht="15.75" customHeight="1">
      <c r="A48" s="9">
        <v>56.0</v>
      </c>
      <c r="B48" s="9" t="s">
        <v>127</v>
      </c>
      <c r="C48" s="9" t="s">
        <v>128</v>
      </c>
      <c r="D48" s="10" t="s">
        <v>30</v>
      </c>
      <c r="E48" s="11" t="s">
        <v>91</v>
      </c>
      <c r="F48" s="12">
        <v>1.55</v>
      </c>
      <c r="G48" s="12">
        <f>F48-'Estatística'!$D$6/'Estatística'!$D$10</f>
        <v>0.5469803714</v>
      </c>
      <c r="H48" s="13">
        <v>44937.0</v>
      </c>
      <c r="I48" s="14" t="str">
        <f t="shared" si="1"/>
        <v>jan.</v>
      </c>
      <c r="O48" s="8"/>
    </row>
    <row r="49" ht="15.75" customHeight="1">
      <c r="A49" s="19">
        <v>93.0</v>
      </c>
      <c r="B49" s="19" t="s">
        <v>129</v>
      </c>
      <c r="C49" s="19" t="s">
        <v>130</v>
      </c>
      <c r="D49" s="20" t="s">
        <v>11</v>
      </c>
      <c r="E49" s="21" t="s">
        <v>88</v>
      </c>
      <c r="F49" s="22">
        <v>41.79</v>
      </c>
      <c r="G49" s="22">
        <f>F49-'Estatística'!$D$6/'Estatística'!$D$10</f>
        <v>40.78698037</v>
      </c>
      <c r="H49" s="23">
        <v>44937.0</v>
      </c>
      <c r="I49" s="24" t="str">
        <f t="shared" si="1"/>
        <v>jan.</v>
      </c>
      <c r="O49" s="8"/>
    </row>
    <row r="50" ht="15.75" customHeight="1">
      <c r="A50" s="9">
        <v>22.0</v>
      </c>
      <c r="B50" s="9" t="s">
        <v>131</v>
      </c>
      <c r="C50" s="9" t="s">
        <v>132</v>
      </c>
      <c r="D50" s="10" t="s">
        <v>30</v>
      </c>
      <c r="E50" s="11" t="s">
        <v>12</v>
      </c>
      <c r="F50" s="12">
        <v>10.17</v>
      </c>
      <c r="G50" s="12">
        <f>F50-'Estatística'!$D$6/'Estatística'!$D$10</f>
        <v>9.166980371</v>
      </c>
      <c r="H50" s="13">
        <v>44937.0</v>
      </c>
      <c r="I50" s="14" t="str">
        <f t="shared" si="1"/>
        <v>jan.</v>
      </c>
      <c r="O50" s="8"/>
    </row>
    <row r="51" ht="15.75" customHeight="1">
      <c r="A51" s="19">
        <v>59.0</v>
      </c>
      <c r="B51" s="19" t="s">
        <v>103</v>
      </c>
      <c r="C51" s="19" t="s">
        <v>104</v>
      </c>
      <c r="D51" s="20" t="s">
        <v>11</v>
      </c>
      <c r="E51" s="21" t="s">
        <v>88</v>
      </c>
      <c r="F51" s="22">
        <v>41.96</v>
      </c>
      <c r="G51" s="22">
        <f>F51-'Estatística'!$D$6/'Estatística'!$D$10</f>
        <v>40.95698037</v>
      </c>
      <c r="H51" s="23">
        <v>44937.0</v>
      </c>
      <c r="I51" s="24" t="str">
        <f t="shared" si="1"/>
        <v>jan.</v>
      </c>
      <c r="O51" s="8"/>
    </row>
    <row r="52" ht="15.75" customHeight="1">
      <c r="A52" s="9">
        <v>72.0</v>
      </c>
      <c r="B52" s="9" t="s">
        <v>133</v>
      </c>
      <c r="C52" s="9" t="s">
        <v>134</v>
      </c>
      <c r="D52" s="10" t="s">
        <v>11</v>
      </c>
      <c r="E52" s="11" t="s">
        <v>52</v>
      </c>
      <c r="F52" s="12">
        <v>63.3</v>
      </c>
      <c r="G52" s="12">
        <f>F52-'Estatística'!$D$6/'Estatística'!$D$10</f>
        <v>62.29698037</v>
      </c>
      <c r="H52" s="13">
        <v>44938.0</v>
      </c>
      <c r="I52" s="14" t="str">
        <f t="shared" si="1"/>
        <v>jan.</v>
      </c>
      <c r="O52" s="8"/>
    </row>
    <row r="53" ht="15.75" customHeight="1">
      <c r="A53" s="19">
        <v>89.0</v>
      </c>
      <c r="B53" s="19" t="s">
        <v>135</v>
      </c>
      <c r="C53" s="19" t="s">
        <v>136</v>
      </c>
      <c r="D53" s="20" t="s">
        <v>30</v>
      </c>
      <c r="E53" s="21" t="s">
        <v>94</v>
      </c>
      <c r="F53" s="22">
        <v>28.67</v>
      </c>
      <c r="G53" s="22">
        <f>F53-'Estatística'!$D$6/'Estatística'!$D$10</f>
        <v>27.66698037</v>
      </c>
      <c r="H53" s="23">
        <v>44938.0</v>
      </c>
      <c r="I53" s="24" t="str">
        <f t="shared" si="1"/>
        <v>jan.</v>
      </c>
      <c r="O53" s="8"/>
    </row>
    <row r="54" ht="15.75" customHeight="1">
      <c r="A54" s="9">
        <v>79.0</v>
      </c>
      <c r="B54" s="9" t="s">
        <v>101</v>
      </c>
      <c r="C54" s="9" t="s">
        <v>102</v>
      </c>
      <c r="D54" s="10" t="s">
        <v>30</v>
      </c>
      <c r="E54" s="11" t="s">
        <v>39</v>
      </c>
      <c r="F54" s="12">
        <v>28.38</v>
      </c>
      <c r="G54" s="12">
        <f>F54-'Estatística'!$D$6/'Estatística'!$D$10</f>
        <v>27.37698037</v>
      </c>
      <c r="H54" s="13">
        <v>44938.0</v>
      </c>
      <c r="I54" s="14" t="str">
        <f t="shared" si="1"/>
        <v>jan.</v>
      </c>
      <c r="O54" s="8"/>
    </row>
    <row r="55" ht="15.75" customHeight="1">
      <c r="A55" s="19">
        <v>4.0</v>
      </c>
      <c r="B55" s="19" t="s">
        <v>118</v>
      </c>
      <c r="C55" s="19" t="s">
        <v>119</v>
      </c>
      <c r="D55" s="20" t="s">
        <v>11</v>
      </c>
      <c r="E55" s="21" t="s">
        <v>50</v>
      </c>
      <c r="F55" s="22">
        <v>26.72</v>
      </c>
      <c r="G55" s="22">
        <f>F55-'Estatística'!$D$6/'Estatística'!$D$10</f>
        <v>25.71698037</v>
      </c>
      <c r="H55" s="23">
        <v>44938.0</v>
      </c>
      <c r="I55" s="24" t="str">
        <f t="shared" si="1"/>
        <v>jan.</v>
      </c>
      <c r="O55" s="8"/>
    </row>
    <row r="56" ht="15.75" customHeight="1">
      <c r="A56" s="9">
        <v>13.0</v>
      </c>
      <c r="B56" s="9" t="s">
        <v>137</v>
      </c>
      <c r="C56" s="9" t="s">
        <v>138</v>
      </c>
      <c r="D56" s="10" t="s">
        <v>30</v>
      </c>
      <c r="E56" s="11" t="s">
        <v>60</v>
      </c>
      <c r="F56" s="12">
        <v>55.27</v>
      </c>
      <c r="G56" s="12">
        <f>F56-'Estatística'!$D$6/'Estatística'!$D$10</f>
        <v>54.26698037</v>
      </c>
      <c r="H56" s="13">
        <v>44938.0</v>
      </c>
      <c r="I56" s="14" t="str">
        <f t="shared" si="1"/>
        <v>jan.</v>
      </c>
      <c r="O56" s="8"/>
    </row>
    <row r="57" ht="15.75" customHeight="1">
      <c r="A57" s="19">
        <v>74.0</v>
      </c>
      <c r="B57" s="19" t="s">
        <v>9</v>
      </c>
      <c r="C57" s="19" t="s">
        <v>124</v>
      </c>
      <c r="D57" s="20" t="s">
        <v>30</v>
      </c>
      <c r="E57" s="21" t="s">
        <v>56</v>
      </c>
      <c r="F57" s="22">
        <v>76.14</v>
      </c>
      <c r="G57" s="22">
        <f>F57-'Estatística'!$D$6/'Estatística'!$D$10</f>
        <v>75.13698037</v>
      </c>
      <c r="H57" s="23">
        <v>44938.0</v>
      </c>
      <c r="I57" s="24" t="str">
        <f t="shared" si="1"/>
        <v>jan.</v>
      </c>
      <c r="O57" s="8"/>
    </row>
    <row r="58" ht="15.75" customHeight="1">
      <c r="A58" s="9">
        <v>48.0</v>
      </c>
      <c r="B58" s="9" t="s">
        <v>41</v>
      </c>
      <c r="C58" s="9" t="s">
        <v>45</v>
      </c>
      <c r="D58" s="10" t="s">
        <v>30</v>
      </c>
      <c r="E58" s="11" t="s">
        <v>76</v>
      </c>
      <c r="F58" s="12">
        <v>12.52</v>
      </c>
      <c r="G58" s="12">
        <f>F58-'Estatística'!$D$6/'Estatística'!$D$10</f>
        <v>11.51698037</v>
      </c>
      <c r="H58" s="13">
        <v>44938.0</v>
      </c>
      <c r="I58" s="14" t="str">
        <f t="shared" si="1"/>
        <v>jan.</v>
      </c>
      <c r="O58" s="8"/>
    </row>
    <row r="59" ht="15.75" customHeight="1">
      <c r="A59" s="19">
        <v>24.0</v>
      </c>
      <c r="B59" s="19" t="s">
        <v>139</v>
      </c>
      <c r="C59" s="19" t="s">
        <v>140</v>
      </c>
      <c r="D59" s="20" t="s">
        <v>30</v>
      </c>
      <c r="E59" s="21" t="s">
        <v>50</v>
      </c>
      <c r="F59" s="22">
        <v>27.39</v>
      </c>
      <c r="G59" s="22">
        <f>F59-'Estatística'!$D$6/'Estatística'!$D$10</f>
        <v>26.38698037</v>
      </c>
      <c r="H59" s="23">
        <v>44938.0</v>
      </c>
      <c r="I59" s="24" t="str">
        <f t="shared" si="1"/>
        <v>jan.</v>
      </c>
      <c r="O59" s="8"/>
    </row>
    <row r="60" ht="15.75" customHeight="1">
      <c r="A60" s="9">
        <v>84.0</v>
      </c>
      <c r="B60" s="9" t="s">
        <v>141</v>
      </c>
      <c r="C60" s="9" t="s">
        <v>142</v>
      </c>
      <c r="D60" s="10" t="s">
        <v>11</v>
      </c>
      <c r="E60" s="11" t="s">
        <v>88</v>
      </c>
      <c r="F60" s="12">
        <v>33.05</v>
      </c>
      <c r="G60" s="12">
        <f>F60-'Estatística'!$D$6/'Estatística'!$D$10</f>
        <v>32.04698037</v>
      </c>
      <c r="H60" s="13">
        <v>44938.0</v>
      </c>
      <c r="I60" s="14" t="str">
        <f t="shared" si="1"/>
        <v>jan.</v>
      </c>
      <c r="O60" s="8"/>
    </row>
    <row r="61" ht="15.75" customHeight="1">
      <c r="A61" s="19">
        <v>7.0</v>
      </c>
      <c r="B61" s="19" t="s">
        <v>114</v>
      </c>
      <c r="C61" s="19" t="s">
        <v>115</v>
      </c>
      <c r="D61" s="20" t="s">
        <v>11</v>
      </c>
      <c r="E61" s="21" t="s">
        <v>39</v>
      </c>
      <c r="F61" s="22">
        <v>37.71</v>
      </c>
      <c r="G61" s="22">
        <f>F61-'Estatística'!$D$6/'Estatística'!$D$10</f>
        <v>36.70698037</v>
      </c>
      <c r="H61" s="23">
        <v>44939.0</v>
      </c>
      <c r="I61" s="24" t="str">
        <f t="shared" si="1"/>
        <v>jan.</v>
      </c>
      <c r="O61" s="8"/>
    </row>
    <row r="62" ht="15.75" customHeight="1">
      <c r="A62" s="9">
        <v>60.0</v>
      </c>
      <c r="B62" s="9" t="s">
        <v>65</v>
      </c>
      <c r="C62" s="9" t="s">
        <v>66</v>
      </c>
      <c r="D62" s="10" t="s">
        <v>30</v>
      </c>
      <c r="E62" s="11" t="s">
        <v>91</v>
      </c>
      <c r="F62" s="12">
        <v>2.16</v>
      </c>
      <c r="G62" s="12">
        <f>F62-'Estatística'!$D$6/'Estatística'!$D$10</f>
        <v>1.156980371</v>
      </c>
      <c r="H62" s="13">
        <v>44939.0</v>
      </c>
      <c r="I62" s="14" t="str">
        <f t="shared" si="1"/>
        <v>jan.</v>
      </c>
      <c r="O62" s="8"/>
    </row>
    <row r="63" ht="15.75" customHeight="1">
      <c r="A63" s="19">
        <v>46.0</v>
      </c>
      <c r="B63" s="19" t="s">
        <v>143</v>
      </c>
      <c r="C63" s="19" t="s">
        <v>144</v>
      </c>
      <c r="D63" s="20" t="s">
        <v>11</v>
      </c>
      <c r="E63" s="21" t="s">
        <v>97</v>
      </c>
      <c r="F63" s="22">
        <v>3.14</v>
      </c>
      <c r="G63" s="22">
        <f>F63-'Estatística'!$D$6/'Estatística'!$D$10</f>
        <v>2.136980371</v>
      </c>
      <c r="H63" s="23">
        <v>44939.0</v>
      </c>
      <c r="I63" s="24" t="str">
        <f t="shared" si="1"/>
        <v>jan.</v>
      </c>
      <c r="O63" s="8"/>
    </row>
    <row r="64" ht="15.75" customHeight="1">
      <c r="A64" s="9">
        <v>93.0</v>
      </c>
      <c r="B64" s="9" t="s">
        <v>129</v>
      </c>
      <c r="C64" s="9" t="s">
        <v>130</v>
      </c>
      <c r="D64" s="10" t="s">
        <v>30</v>
      </c>
      <c r="E64" s="11" t="s">
        <v>50</v>
      </c>
      <c r="F64" s="12">
        <v>31.86</v>
      </c>
      <c r="G64" s="12">
        <f>F64-'Estatística'!$D$6/'Estatística'!$D$10</f>
        <v>30.85698037</v>
      </c>
      <c r="H64" s="13">
        <v>44939.0</v>
      </c>
      <c r="I64" s="14" t="str">
        <f t="shared" si="1"/>
        <v>jan.</v>
      </c>
      <c r="O64" s="8"/>
    </row>
    <row r="65" ht="15.75" customHeight="1">
      <c r="A65" s="19">
        <v>69.0</v>
      </c>
      <c r="B65" s="19" t="s">
        <v>108</v>
      </c>
      <c r="C65" s="19" t="s">
        <v>145</v>
      </c>
      <c r="D65" s="20" t="s">
        <v>11</v>
      </c>
      <c r="E65" s="21" t="s">
        <v>82</v>
      </c>
      <c r="F65" s="22">
        <v>13.44</v>
      </c>
      <c r="G65" s="22">
        <f>F65-'Estatística'!$D$6/'Estatística'!$D$10</f>
        <v>12.43698037</v>
      </c>
      <c r="H65" s="23">
        <v>44940.0</v>
      </c>
      <c r="I65" s="24" t="str">
        <f t="shared" si="1"/>
        <v>jan.</v>
      </c>
      <c r="O65" s="8"/>
    </row>
    <row r="66" ht="15.75" customHeight="1">
      <c r="A66" s="9">
        <v>32.0</v>
      </c>
      <c r="B66" s="9" t="s">
        <v>146</v>
      </c>
      <c r="C66" s="9" t="s">
        <v>147</v>
      </c>
      <c r="D66" s="10" t="s">
        <v>30</v>
      </c>
      <c r="E66" s="11" t="s">
        <v>60</v>
      </c>
      <c r="F66" s="12">
        <v>41.64</v>
      </c>
      <c r="G66" s="12">
        <f>F66-'Estatística'!$D$6/'Estatística'!$D$10</f>
        <v>40.63698037</v>
      </c>
      <c r="H66" s="13">
        <v>44940.0</v>
      </c>
      <c r="I66" s="14" t="str">
        <f t="shared" si="1"/>
        <v>jan.</v>
      </c>
      <c r="O66" s="8"/>
    </row>
    <row r="67" ht="15.75" customHeight="1">
      <c r="A67" s="19">
        <v>84.0</v>
      </c>
      <c r="B67" s="19" t="s">
        <v>141</v>
      </c>
      <c r="C67" s="19" t="s">
        <v>142</v>
      </c>
      <c r="D67" s="20" t="s">
        <v>11</v>
      </c>
      <c r="E67" s="21" t="s">
        <v>60</v>
      </c>
      <c r="F67" s="22">
        <v>45.96</v>
      </c>
      <c r="G67" s="22">
        <f>F67-'Estatística'!$D$6/'Estatística'!$D$10</f>
        <v>44.95698037</v>
      </c>
      <c r="H67" s="23">
        <v>44940.0</v>
      </c>
      <c r="I67" s="24" t="str">
        <f t="shared" si="1"/>
        <v>jan.</v>
      </c>
      <c r="O67" s="8"/>
    </row>
    <row r="68" ht="15.75" customHeight="1">
      <c r="A68" s="9">
        <v>10.0</v>
      </c>
      <c r="B68" s="9" t="s">
        <v>148</v>
      </c>
      <c r="C68" s="9" t="s">
        <v>149</v>
      </c>
      <c r="D68" s="10" t="s">
        <v>11</v>
      </c>
      <c r="E68" s="11" t="s">
        <v>97</v>
      </c>
      <c r="F68" s="12">
        <v>4.7</v>
      </c>
      <c r="G68" s="12">
        <f>F68-'Estatística'!$D$6/'Estatística'!$D$10</f>
        <v>3.696980371</v>
      </c>
      <c r="H68" s="13">
        <v>44940.0</v>
      </c>
      <c r="I68" s="14" t="str">
        <f t="shared" si="1"/>
        <v>jan.</v>
      </c>
      <c r="O68" s="8"/>
    </row>
    <row r="69" ht="15.75" customHeight="1">
      <c r="A69" s="19">
        <v>71.0</v>
      </c>
      <c r="B69" s="19" t="s">
        <v>150</v>
      </c>
      <c r="C69" s="19" t="s">
        <v>151</v>
      </c>
      <c r="D69" s="20" t="s">
        <v>30</v>
      </c>
      <c r="E69" s="21" t="s">
        <v>12</v>
      </c>
      <c r="F69" s="22">
        <v>10.53</v>
      </c>
      <c r="G69" s="22">
        <f>F69-'Estatística'!$D$6/'Estatística'!$D$10</f>
        <v>9.526980371</v>
      </c>
      <c r="H69" s="23">
        <v>44940.0</v>
      </c>
      <c r="I69" s="24" t="str">
        <f t="shared" si="1"/>
        <v>jan.</v>
      </c>
      <c r="O69" s="8"/>
    </row>
    <row r="70" ht="15.75" customHeight="1">
      <c r="A70" s="9">
        <v>70.0</v>
      </c>
      <c r="B70" s="9" t="s">
        <v>152</v>
      </c>
      <c r="C70" s="9" t="s">
        <v>153</v>
      </c>
      <c r="D70" s="10" t="s">
        <v>30</v>
      </c>
      <c r="E70" s="11" t="s">
        <v>12</v>
      </c>
      <c r="F70" s="12">
        <v>10.44</v>
      </c>
      <c r="G70" s="12">
        <f>F70-'Estatística'!$D$6/'Estatística'!$D$10</f>
        <v>9.436980371</v>
      </c>
      <c r="H70" s="13">
        <v>44940.0</v>
      </c>
      <c r="I70" s="14" t="str">
        <f t="shared" si="1"/>
        <v>jan.</v>
      </c>
      <c r="O70" s="8"/>
    </row>
    <row r="71" ht="15.75" customHeight="1">
      <c r="A71" s="19">
        <v>50.0</v>
      </c>
      <c r="B71" s="19" t="s">
        <v>33</v>
      </c>
      <c r="C71" s="19" t="s">
        <v>34</v>
      </c>
      <c r="D71" s="20" t="s">
        <v>30</v>
      </c>
      <c r="E71" s="21" t="s">
        <v>88</v>
      </c>
      <c r="F71" s="22">
        <v>35.38</v>
      </c>
      <c r="G71" s="22">
        <f>F71-'Estatística'!$D$6/'Estatística'!$D$10</f>
        <v>34.37698037</v>
      </c>
      <c r="H71" s="23">
        <v>44940.0</v>
      </c>
      <c r="I71" s="24" t="str">
        <f t="shared" si="1"/>
        <v>jan.</v>
      </c>
      <c r="O71" s="8"/>
    </row>
    <row r="72" ht="15.75" customHeight="1">
      <c r="A72" s="9">
        <v>29.0</v>
      </c>
      <c r="B72" s="9" t="s">
        <v>122</v>
      </c>
      <c r="C72" s="9" t="s">
        <v>123</v>
      </c>
      <c r="D72" s="10" t="s">
        <v>11</v>
      </c>
      <c r="E72" s="11" t="s">
        <v>72</v>
      </c>
      <c r="F72" s="12">
        <v>16.8</v>
      </c>
      <c r="G72" s="12">
        <f>F72-'Estatística'!$D$6/'Estatística'!$D$10</f>
        <v>15.79698037</v>
      </c>
      <c r="H72" s="13">
        <v>44940.0</v>
      </c>
      <c r="I72" s="14" t="str">
        <f t="shared" si="1"/>
        <v>jan.</v>
      </c>
      <c r="O72" s="8"/>
    </row>
    <row r="73" ht="15.75" customHeight="1">
      <c r="A73" s="19">
        <v>46.0</v>
      </c>
      <c r="B73" s="19" t="s">
        <v>143</v>
      </c>
      <c r="C73" s="19" t="s">
        <v>144</v>
      </c>
      <c r="D73" s="20" t="s">
        <v>11</v>
      </c>
      <c r="E73" s="21" t="s">
        <v>68</v>
      </c>
      <c r="F73" s="22">
        <v>7.91</v>
      </c>
      <c r="G73" s="22">
        <f>F73-'Estatística'!$D$6/'Estatística'!$D$10</f>
        <v>6.906980371</v>
      </c>
      <c r="H73" s="23">
        <v>44940.0</v>
      </c>
      <c r="I73" s="24" t="str">
        <f t="shared" si="1"/>
        <v>jan.</v>
      </c>
      <c r="O73" s="8"/>
    </row>
    <row r="74" ht="15.75" customHeight="1">
      <c r="A74" s="9">
        <v>25.0</v>
      </c>
      <c r="B74" s="9" t="s">
        <v>154</v>
      </c>
      <c r="C74" s="9" t="s">
        <v>155</v>
      </c>
      <c r="D74" s="10" t="s">
        <v>30</v>
      </c>
      <c r="E74" s="11" t="s">
        <v>56</v>
      </c>
      <c r="F74" s="12">
        <v>60.34</v>
      </c>
      <c r="G74" s="12">
        <f>F74-'Estatística'!$D$6/'Estatística'!$D$10</f>
        <v>59.33698037</v>
      </c>
      <c r="H74" s="13">
        <v>44941.0</v>
      </c>
      <c r="I74" s="14" t="str">
        <f t="shared" si="1"/>
        <v>jan.</v>
      </c>
      <c r="O74" s="8"/>
    </row>
    <row r="75" ht="15.75" customHeight="1">
      <c r="A75" s="19">
        <v>99.0</v>
      </c>
      <c r="B75" s="19" t="s">
        <v>73</v>
      </c>
      <c r="C75" s="19" t="s">
        <v>74</v>
      </c>
      <c r="D75" s="20" t="s">
        <v>30</v>
      </c>
      <c r="E75" s="21" t="s">
        <v>43</v>
      </c>
      <c r="F75" s="22">
        <v>15.57</v>
      </c>
      <c r="G75" s="22">
        <f>F75-'Estatística'!$D$6/'Estatística'!$D$10</f>
        <v>14.56698037</v>
      </c>
      <c r="H75" s="23">
        <v>44941.0</v>
      </c>
      <c r="I75" s="24" t="str">
        <f t="shared" si="1"/>
        <v>jan.</v>
      </c>
      <c r="O75" s="8"/>
    </row>
    <row r="76" ht="15.75" customHeight="1">
      <c r="A76" s="9">
        <v>62.0</v>
      </c>
      <c r="B76" s="9" t="s">
        <v>156</v>
      </c>
      <c r="C76" s="9" t="s">
        <v>157</v>
      </c>
      <c r="D76" s="10" t="s">
        <v>11</v>
      </c>
      <c r="E76" s="11" t="s">
        <v>35</v>
      </c>
      <c r="F76" s="12">
        <v>12.41</v>
      </c>
      <c r="G76" s="12">
        <f>F76-'Estatística'!$D$6/'Estatística'!$D$10</f>
        <v>11.40698037</v>
      </c>
      <c r="H76" s="13">
        <v>44941.0</v>
      </c>
      <c r="I76" s="14" t="str">
        <f t="shared" si="1"/>
        <v>jan.</v>
      </c>
      <c r="O76" s="8"/>
    </row>
    <row r="77" ht="15.75" customHeight="1">
      <c r="A77" s="19">
        <v>66.0</v>
      </c>
      <c r="B77" s="19" t="s">
        <v>150</v>
      </c>
      <c r="C77" s="19" t="s">
        <v>158</v>
      </c>
      <c r="D77" s="20" t="s">
        <v>11</v>
      </c>
      <c r="E77" s="21" t="s">
        <v>97</v>
      </c>
      <c r="F77" s="22">
        <v>5.38</v>
      </c>
      <c r="G77" s="22">
        <f>F77-'Estatística'!$D$6/'Estatística'!$D$10</f>
        <v>4.376980371</v>
      </c>
      <c r="H77" s="23">
        <v>44941.0</v>
      </c>
      <c r="I77" s="24" t="str">
        <f t="shared" si="1"/>
        <v>jan.</v>
      </c>
      <c r="O77" s="8"/>
    </row>
    <row r="78" ht="15.75" customHeight="1">
      <c r="A78" s="9">
        <v>64.0</v>
      </c>
      <c r="B78" s="9" t="s">
        <v>159</v>
      </c>
      <c r="C78" s="9" t="s">
        <v>160</v>
      </c>
      <c r="D78" s="10" t="s">
        <v>30</v>
      </c>
      <c r="E78" s="11" t="s">
        <v>68</v>
      </c>
      <c r="F78" s="12">
        <v>11.73</v>
      </c>
      <c r="G78" s="12">
        <f>F78-'Estatística'!$D$6/'Estatística'!$D$10</f>
        <v>10.72698037</v>
      </c>
      <c r="H78" s="13">
        <v>44941.0</v>
      </c>
      <c r="I78" s="14" t="str">
        <f t="shared" si="1"/>
        <v>jan.</v>
      </c>
      <c r="O78" s="8"/>
    </row>
    <row r="79" ht="15.75" customHeight="1">
      <c r="A79" s="19">
        <v>83.0</v>
      </c>
      <c r="B79" s="19" t="s">
        <v>98</v>
      </c>
      <c r="C79" s="19" t="s">
        <v>99</v>
      </c>
      <c r="D79" s="20" t="s">
        <v>30</v>
      </c>
      <c r="E79" s="21" t="s">
        <v>56</v>
      </c>
      <c r="F79" s="22">
        <v>71.1</v>
      </c>
      <c r="G79" s="22">
        <f>F79-'Estatística'!$D$6/'Estatística'!$D$10</f>
        <v>70.09698037</v>
      </c>
      <c r="H79" s="23">
        <v>44942.0</v>
      </c>
      <c r="I79" s="24" t="str">
        <f t="shared" si="1"/>
        <v>jan.</v>
      </c>
      <c r="O79" s="8"/>
    </row>
    <row r="80" ht="15.75" customHeight="1">
      <c r="A80" s="9">
        <v>20.0</v>
      </c>
      <c r="B80" s="9" t="s">
        <v>161</v>
      </c>
      <c r="C80" s="9" t="s">
        <v>162</v>
      </c>
      <c r="D80" s="10" t="s">
        <v>11</v>
      </c>
      <c r="E80" s="11" t="s">
        <v>31</v>
      </c>
      <c r="F80" s="12">
        <v>51.47</v>
      </c>
      <c r="G80" s="12">
        <f>F80-'Estatística'!$D$6/'Estatística'!$D$10</f>
        <v>50.46698037</v>
      </c>
      <c r="H80" s="13">
        <v>44942.0</v>
      </c>
      <c r="I80" s="14" t="str">
        <f t="shared" si="1"/>
        <v>jan.</v>
      </c>
      <c r="O80" s="8"/>
    </row>
    <row r="81" ht="15.75" customHeight="1">
      <c r="A81" s="19">
        <v>96.0</v>
      </c>
      <c r="B81" s="19" t="s">
        <v>163</v>
      </c>
      <c r="C81" s="19" t="s">
        <v>164</v>
      </c>
      <c r="D81" s="20" t="s">
        <v>11</v>
      </c>
      <c r="E81" s="21" t="s">
        <v>39</v>
      </c>
      <c r="F81" s="22">
        <v>20.18</v>
      </c>
      <c r="G81" s="22">
        <f>F81-'Estatística'!$D$6/'Estatística'!$D$10</f>
        <v>19.17698037</v>
      </c>
      <c r="H81" s="23">
        <v>44942.0</v>
      </c>
      <c r="I81" s="24" t="str">
        <f t="shared" si="1"/>
        <v>jan.</v>
      </c>
      <c r="O81" s="8"/>
    </row>
    <row r="82" ht="15.75" customHeight="1">
      <c r="A82" s="9">
        <v>62.0</v>
      </c>
      <c r="B82" s="9" t="s">
        <v>156</v>
      </c>
      <c r="C82" s="9" t="s">
        <v>157</v>
      </c>
      <c r="D82" s="10" t="s">
        <v>11</v>
      </c>
      <c r="E82" s="11" t="s">
        <v>12</v>
      </c>
      <c r="F82" s="12">
        <v>10.73</v>
      </c>
      <c r="G82" s="12">
        <f>F82-'Estatística'!$D$6/'Estatística'!$D$10</f>
        <v>9.726980371</v>
      </c>
      <c r="H82" s="13">
        <v>44942.0</v>
      </c>
      <c r="I82" s="14" t="str">
        <f t="shared" si="1"/>
        <v>jan.</v>
      </c>
      <c r="O82" s="8"/>
    </row>
    <row r="83" ht="15.75" customHeight="1">
      <c r="A83" s="19">
        <v>58.0</v>
      </c>
      <c r="B83" s="19" t="s">
        <v>165</v>
      </c>
      <c r="C83" s="19" t="s">
        <v>166</v>
      </c>
      <c r="D83" s="20" t="s">
        <v>30</v>
      </c>
      <c r="E83" s="21" t="s">
        <v>52</v>
      </c>
      <c r="F83" s="22">
        <v>49.31</v>
      </c>
      <c r="G83" s="22">
        <f>F83-'Estatística'!$D$6/'Estatística'!$D$10</f>
        <v>48.30698037</v>
      </c>
      <c r="H83" s="23">
        <v>44942.0</v>
      </c>
      <c r="I83" s="24" t="str">
        <f t="shared" si="1"/>
        <v>jan.</v>
      </c>
      <c r="O83" s="8"/>
    </row>
    <row r="84" ht="15.75" customHeight="1">
      <c r="A84" s="9">
        <v>5.0</v>
      </c>
      <c r="B84" s="9" t="s">
        <v>167</v>
      </c>
      <c r="C84" s="9" t="s">
        <v>168</v>
      </c>
      <c r="D84" s="10" t="s">
        <v>11</v>
      </c>
      <c r="E84" s="11" t="s">
        <v>79</v>
      </c>
      <c r="F84" s="12">
        <v>31.14</v>
      </c>
      <c r="G84" s="12">
        <f>F84-'Estatística'!$D$6/'Estatística'!$D$10</f>
        <v>30.13698037</v>
      </c>
      <c r="H84" s="13">
        <v>44943.0</v>
      </c>
      <c r="I84" s="14" t="str">
        <f t="shared" si="1"/>
        <v>jan.</v>
      </c>
      <c r="O84" s="8"/>
    </row>
    <row r="85" ht="15.75" customHeight="1">
      <c r="A85" s="19">
        <v>77.0</v>
      </c>
      <c r="B85" s="19" t="s">
        <v>9</v>
      </c>
      <c r="C85" s="19" t="s">
        <v>169</v>
      </c>
      <c r="D85" s="20" t="s">
        <v>30</v>
      </c>
      <c r="E85" s="21" t="s">
        <v>91</v>
      </c>
      <c r="F85" s="22">
        <v>2.62</v>
      </c>
      <c r="G85" s="22">
        <f>F85-'Estatística'!$D$6/'Estatística'!$D$10</f>
        <v>1.616980371</v>
      </c>
      <c r="H85" s="23">
        <v>44943.0</v>
      </c>
      <c r="I85" s="24" t="str">
        <f t="shared" si="1"/>
        <v>jan.</v>
      </c>
      <c r="O85" s="8"/>
    </row>
    <row r="86" ht="15.75" customHeight="1">
      <c r="A86" s="9">
        <v>89.0</v>
      </c>
      <c r="B86" s="9" t="s">
        <v>135</v>
      </c>
      <c r="C86" s="9" t="s">
        <v>136</v>
      </c>
      <c r="D86" s="10" t="s">
        <v>11</v>
      </c>
      <c r="E86" s="11" t="s">
        <v>31</v>
      </c>
      <c r="F86" s="12">
        <v>39.3</v>
      </c>
      <c r="G86" s="12">
        <f>F86-'Estatística'!$D$6/'Estatística'!$D$10</f>
        <v>38.29698037</v>
      </c>
      <c r="H86" s="13">
        <v>44943.0</v>
      </c>
      <c r="I86" s="14" t="str">
        <f t="shared" si="1"/>
        <v>jan.</v>
      </c>
      <c r="O86" s="8"/>
    </row>
    <row r="87" ht="15.75" customHeight="1">
      <c r="A87" s="19">
        <v>96.0</v>
      </c>
      <c r="B87" s="19" t="s">
        <v>163</v>
      </c>
      <c r="C87" s="19" t="s">
        <v>164</v>
      </c>
      <c r="D87" s="20" t="s">
        <v>30</v>
      </c>
      <c r="E87" s="21" t="s">
        <v>94</v>
      </c>
      <c r="F87" s="22">
        <v>31.2</v>
      </c>
      <c r="G87" s="22">
        <f>F87-'Estatística'!$D$6/'Estatística'!$D$10</f>
        <v>30.19698037</v>
      </c>
      <c r="H87" s="23">
        <v>44943.0</v>
      </c>
      <c r="I87" s="24" t="str">
        <f t="shared" si="1"/>
        <v>jan.</v>
      </c>
      <c r="O87" s="8"/>
    </row>
    <row r="88" ht="15.75" customHeight="1">
      <c r="A88" s="9">
        <v>42.0</v>
      </c>
      <c r="B88" s="9" t="s">
        <v>92</v>
      </c>
      <c r="C88" s="9" t="s">
        <v>170</v>
      </c>
      <c r="D88" s="10" t="s">
        <v>30</v>
      </c>
      <c r="E88" s="11" t="s">
        <v>76</v>
      </c>
      <c r="F88" s="12">
        <v>11.77</v>
      </c>
      <c r="G88" s="12">
        <f>F88-'Estatística'!$D$6/'Estatística'!$D$10</f>
        <v>10.76698037</v>
      </c>
      <c r="H88" s="13">
        <v>44943.0</v>
      </c>
      <c r="I88" s="14" t="str">
        <f t="shared" si="1"/>
        <v>jan.</v>
      </c>
      <c r="O88" s="8"/>
    </row>
    <row r="89" ht="15.75" customHeight="1">
      <c r="A89" s="19">
        <v>20.0</v>
      </c>
      <c r="B89" s="19" t="s">
        <v>161</v>
      </c>
      <c r="C89" s="19" t="s">
        <v>162</v>
      </c>
      <c r="D89" s="20" t="s">
        <v>30</v>
      </c>
      <c r="E89" s="21" t="s">
        <v>50</v>
      </c>
      <c r="F89" s="22">
        <v>32.26</v>
      </c>
      <c r="G89" s="22">
        <f>F89-'Estatística'!$D$6/'Estatística'!$D$10</f>
        <v>31.25698037</v>
      </c>
      <c r="H89" s="23">
        <v>44943.0</v>
      </c>
      <c r="I89" s="24" t="str">
        <f t="shared" si="1"/>
        <v>jan.</v>
      </c>
      <c r="O89" s="8"/>
    </row>
    <row r="90" ht="15.75" customHeight="1">
      <c r="A90" s="9">
        <v>14.0</v>
      </c>
      <c r="B90" s="9" t="s">
        <v>171</v>
      </c>
      <c r="C90" s="9" t="s">
        <v>172</v>
      </c>
      <c r="D90" s="10" t="s">
        <v>11</v>
      </c>
      <c r="E90" s="11" t="s">
        <v>85</v>
      </c>
      <c r="F90" s="12">
        <v>11.88</v>
      </c>
      <c r="G90" s="12">
        <f>F90-'Estatística'!$D$6/'Estatística'!$D$10</f>
        <v>10.87698037</v>
      </c>
      <c r="H90" s="13">
        <v>44943.0</v>
      </c>
      <c r="I90" s="14" t="str">
        <f t="shared" si="1"/>
        <v>jan.</v>
      </c>
      <c r="O90" s="8"/>
    </row>
    <row r="91" ht="15.75" customHeight="1">
      <c r="A91" s="19">
        <v>27.0</v>
      </c>
      <c r="B91" s="19" t="s">
        <v>173</v>
      </c>
      <c r="C91" s="19" t="s">
        <v>174</v>
      </c>
      <c r="D91" s="20" t="s">
        <v>30</v>
      </c>
      <c r="E91" s="21" t="s">
        <v>68</v>
      </c>
      <c r="F91" s="22">
        <v>8.9</v>
      </c>
      <c r="G91" s="22">
        <f>F91-'Estatística'!$D$6/'Estatística'!$D$10</f>
        <v>7.896980371</v>
      </c>
      <c r="H91" s="23">
        <v>44944.0</v>
      </c>
      <c r="I91" s="24" t="str">
        <f t="shared" si="1"/>
        <v>jan.</v>
      </c>
      <c r="O91" s="8"/>
    </row>
    <row r="92" ht="15.75" customHeight="1">
      <c r="A92" s="9">
        <v>50.0</v>
      </c>
      <c r="B92" s="9" t="s">
        <v>33</v>
      </c>
      <c r="C92" s="9" t="s">
        <v>34</v>
      </c>
      <c r="D92" s="10" t="s">
        <v>30</v>
      </c>
      <c r="E92" s="11" t="s">
        <v>43</v>
      </c>
      <c r="F92" s="12">
        <v>18.56</v>
      </c>
      <c r="G92" s="12">
        <f>F92-'Estatística'!$D$6/'Estatística'!$D$10</f>
        <v>17.55698037</v>
      </c>
      <c r="H92" s="13">
        <v>44944.0</v>
      </c>
      <c r="I92" s="14" t="str">
        <f t="shared" si="1"/>
        <v>jan.</v>
      </c>
      <c r="O92" s="8"/>
    </row>
    <row r="93" ht="15.75" customHeight="1">
      <c r="A93" s="19">
        <v>93.0</v>
      </c>
      <c r="B93" s="19" t="s">
        <v>129</v>
      </c>
      <c r="C93" s="19" t="s">
        <v>130</v>
      </c>
      <c r="D93" s="20" t="s">
        <v>11</v>
      </c>
      <c r="E93" s="21" t="s">
        <v>82</v>
      </c>
      <c r="F93" s="22">
        <v>10.71</v>
      </c>
      <c r="G93" s="22">
        <f>F93-'Estatística'!$D$6/'Estatística'!$D$10</f>
        <v>9.706980371</v>
      </c>
      <c r="H93" s="23">
        <v>44944.0</v>
      </c>
      <c r="I93" s="24" t="str">
        <f t="shared" si="1"/>
        <v>jan.</v>
      </c>
      <c r="O93" s="8"/>
    </row>
    <row r="94" ht="15.75" customHeight="1">
      <c r="A94" s="9">
        <v>16.0</v>
      </c>
      <c r="B94" s="9" t="s">
        <v>175</v>
      </c>
      <c r="C94" s="9" t="s">
        <v>176</v>
      </c>
      <c r="D94" s="10" t="s">
        <v>11</v>
      </c>
      <c r="E94" s="11" t="s">
        <v>88</v>
      </c>
      <c r="F94" s="12">
        <v>37.73</v>
      </c>
      <c r="G94" s="12">
        <f>F94-'Estatística'!$D$6/'Estatística'!$D$10</f>
        <v>36.72698037</v>
      </c>
      <c r="H94" s="13">
        <v>44944.0</v>
      </c>
      <c r="I94" s="14" t="str">
        <f t="shared" si="1"/>
        <v>jan.</v>
      </c>
      <c r="O94" s="8"/>
    </row>
    <row r="95" ht="15.75" customHeight="1">
      <c r="A95" s="19">
        <v>42.0</v>
      </c>
      <c r="B95" s="19" t="s">
        <v>92</v>
      </c>
      <c r="C95" s="19" t="s">
        <v>170</v>
      </c>
      <c r="D95" s="20" t="s">
        <v>30</v>
      </c>
      <c r="E95" s="21" t="s">
        <v>94</v>
      </c>
      <c r="F95" s="22">
        <v>30.2</v>
      </c>
      <c r="G95" s="22">
        <f>F95-'Estatística'!$D$6/'Estatística'!$D$10</f>
        <v>29.19698037</v>
      </c>
      <c r="H95" s="23">
        <v>44944.0</v>
      </c>
      <c r="I95" s="24" t="str">
        <f t="shared" si="1"/>
        <v>jan.</v>
      </c>
      <c r="O95" s="8"/>
    </row>
    <row r="96" ht="15.75" customHeight="1">
      <c r="A96" s="9">
        <v>54.0</v>
      </c>
      <c r="B96" s="9" t="s">
        <v>86</v>
      </c>
      <c r="C96" s="9" t="s">
        <v>87</v>
      </c>
      <c r="D96" s="10" t="s">
        <v>30</v>
      </c>
      <c r="E96" s="11" t="s">
        <v>91</v>
      </c>
      <c r="F96" s="12">
        <v>3.26</v>
      </c>
      <c r="G96" s="12">
        <f>F96-'Estatística'!$D$6/'Estatística'!$D$10</f>
        <v>2.256980371</v>
      </c>
      <c r="H96" s="13">
        <v>44945.0</v>
      </c>
      <c r="I96" s="14" t="str">
        <f t="shared" si="1"/>
        <v>jan.</v>
      </c>
      <c r="O96" s="8"/>
    </row>
    <row r="97" ht="15.75" customHeight="1">
      <c r="A97" s="19">
        <v>34.0</v>
      </c>
      <c r="B97" s="19" t="s">
        <v>177</v>
      </c>
      <c r="C97" s="19" t="s">
        <v>178</v>
      </c>
      <c r="D97" s="20" t="s">
        <v>11</v>
      </c>
      <c r="E97" s="21" t="s">
        <v>31</v>
      </c>
      <c r="F97" s="22">
        <v>53.44</v>
      </c>
      <c r="G97" s="22">
        <f>F97-'Estatística'!$D$6/'Estatística'!$D$10</f>
        <v>52.43698037</v>
      </c>
      <c r="H97" s="23">
        <v>44945.0</v>
      </c>
      <c r="I97" s="24" t="str">
        <f t="shared" si="1"/>
        <v>jan.</v>
      </c>
      <c r="O97" s="8"/>
    </row>
    <row r="98" ht="15.75" customHeight="1">
      <c r="A98" s="9">
        <v>49.0</v>
      </c>
      <c r="B98" s="9" t="s">
        <v>179</v>
      </c>
      <c r="C98" s="9" t="s">
        <v>180</v>
      </c>
      <c r="D98" s="10" t="s">
        <v>30</v>
      </c>
      <c r="E98" s="11" t="s">
        <v>91</v>
      </c>
      <c r="F98" s="12">
        <v>3.84</v>
      </c>
      <c r="G98" s="12">
        <f>F98-'Estatística'!$D$6/'Estatística'!$D$10</f>
        <v>2.836980371</v>
      </c>
      <c r="H98" s="13">
        <v>44945.0</v>
      </c>
      <c r="I98" s="14" t="str">
        <f t="shared" si="1"/>
        <v>jan.</v>
      </c>
      <c r="O98" s="8"/>
    </row>
    <row r="99" ht="15.75" customHeight="1">
      <c r="A99" s="19">
        <v>69.0</v>
      </c>
      <c r="B99" s="19" t="s">
        <v>108</v>
      </c>
      <c r="C99" s="19" t="s">
        <v>145</v>
      </c>
      <c r="D99" s="20" t="s">
        <v>11</v>
      </c>
      <c r="E99" s="21" t="s">
        <v>76</v>
      </c>
      <c r="F99" s="22">
        <v>11.52</v>
      </c>
      <c r="G99" s="22">
        <f>F99-'Estatística'!$D$6/'Estatística'!$D$10</f>
        <v>10.51698037</v>
      </c>
      <c r="H99" s="23">
        <v>44946.0</v>
      </c>
      <c r="I99" s="24" t="str">
        <f t="shared" si="1"/>
        <v>jan.</v>
      </c>
      <c r="O99" s="8"/>
    </row>
    <row r="100" ht="15.75" customHeight="1">
      <c r="A100" s="9">
        <v>83.0</v>
      </c>
      <c r="B100" s="9" t="s">
        <v>98</v>
      </c>
      <c r="C100" s="9" t="s">
        <v>99</v>
      </c>
      <c r="D100" s="10" t="s">
        <v>30</v>
      </c>
      <c r="E100" s="11" t="s">
        <v>12</v>
      </c>
      <c r="F100" s="12">
        <v>10.6</v>
      </c>
      <c r="G100" s="12">
        <f>F100-'Estatística'!$D$6/'Estatística'!$D$10</f>
        <v>9.596980371</v>
      </c>
      <c r="H100" s="13">
        <v>44946.0</v>
      </c>
      <c r="I100" s="14" t="str">
        <f t="shared" si="1"/>
        <v>jan.</v>
      </c>
      <c r="O100" s="8"/>
    </row>
    <row r="101" ht="15.75" customHeight="1">
      <c r="A101" s="19">
        <v>61.0</v>
      </c>
      <c r="B101" s="19" t="s">
        <v>106</v>
      </c>
      <c r="C101" s="19" t="s">
        <v>107</v>
      </c>
      <c r="D101" s="20" t="s">
        <v>11</v>
      </c>
      <c r="E101" s="21" t="s">
        <v>31</v>
      </c>
      <c r="F101" s="22">
        <v>44.79</v>
      </c>
      <c r="G101" s="22">
        <f>F101-'Estatística'!$D$6/'Estatística'!$D$10</f>
        <v>43.78698037</v>
      </c>
      <c r="H101" s="23">
        <v>44946.0</v>
      </c>
      <c r="I101" s="24" t="str">
        <f t="shared" si="1"/>
        <v>jan.</v>
      </c>
      <c r="O101" s="8"/>
    </row>
    <row r="102" ht="15.75" customHeight="1">
      <c r="A102" s="9">
        <v>2.0</v>
      </c>
      <c r="B102" s="9" t="s">
        <v>83</v>
      </c>
      <c r="C102" s="9" t="s">
        <v>84</v>
      </c>
      <c r="D102" s="10" t="s">
        <v>11</v>
      </c>
      <c r="E102" s="11" t="s">
        <v>82</v>
      </c>
      <c r="F102" s="12">
        <v>11.45</v>
      </c>
      <c r="G102" s="12">
        <f>F102-'Estatística'!$D$6/'Estatística'!$D$10</f>
        <v>10.44698037</v>
      </c>
      <c r="H102" s="13">
        <v>44946.0</v>
      </c>
      <c r="I102" s="14" t="str">
        <f t="shared" si="1"/>
        <v>jan.</v>
      </c>
      <c r="O102" s="8"/>
    </row>
    <row r="103" ht="15.75" customHeight="1">
      <c r="A103" s="19">
        <v>36.0</v>
      </c>
      <c r="B103" s="19" t="s">
        <v>92</v>
      </c>
      <c r="C103" s="19" t="s">
        <v>93</v>
      </c>
      <c r="D103" s="20" t="s">
        <v>30</v>
      </c>
      <c r="E103" s="21" t="s">
        <v>85</v>
      </c>
      <c r="F103" s="22">
        <v>14.58</v>
      </c>
      <c r="G103" s="22">
        <f>F103-'Estatística'!$D$6/'Estatística'!$D$10</f>
        <v>13.57698037</v>
      </c>
      <c r="H103" s="23">
        <v>44946.0</v>
      </c>
      <c r="I103" s="24" t="str">
        <f t="shared" si="1"/>
        <v>jan.</v>
      </c>
      <c r="O103" s="8"/>
    </row>
    <row r="104" ht="15.75" customHeight="1">
      <c r="A104" s="9">
        <v>80.0</v>
      </c>
      <c r="B104" s="9" t="s">
        <v>37</v>
      </c>
      <c r="C104" s="9" t="s">
        <v>38</v>
      </c>
      <c r="D104" s="10" t="s">
        <v>11</v>
      </c>
      <c r="E104" s="11" t="s">
        <v>52</v>
      </c>
      <c r="F104" s="12">
        <v>47.9</v>
      </c>
      <c r="G104" s="12">
        <f>F104-'Estatística'!$D$6/'Estatística'!$D$10</f>
        <v>46.89698037</v>
      </c>
      <c r="H104" s="13">
        <v>44946.0</v>
      </c>
      <c r="I104" s="14" t="str">
        <f t="shared" si="1"/>
        <v>jan.</v>
      </c>
      <c r="O104" s="8"/>
    </row>
    <row r="105" ht="15.75" customHeight="1">
      <c r="A105" s="19">
        <v>3.0</v>
      </c>
      <c r="B105" s="19" t="s">
        <v>80</v>
      </c>
      <c r="C105" s="19" t="s">
        <v>81</v>
      </c>
      <c r="D105" s="20" t="s">
        <v>30</v>
      </c>
      <c r="E105" s="21" t="s">
        <v>72</v>
      </c>
      <c r="F105" s="22">
        <v>21.59</v>
      </c>
      <c r="G105" s="22">
        <f>F105-'Estatística'!$D$6/'Estatística'!$D$10</f>
        <v>20.58698037</v>
      </c>
      <c r="H105" s="23">
        <v>44946.0</v>
      </c>
      <c r="I105" s="24" t="str">
        <f t="shared" si="1"/>
        <v>jan.</v>
      </c>
      <c r="O105" s="8"/>
    </row>
    <row r="106" ht="15.75" customHeight="1">
      <c r="A106" s="9">
        <v>52.0</v>
      </c>
      <c r="B106" s="9" t="s">
        <v>181</v>
      </c>
      <c r="C106" s="9" t="s">
        <v>182</v>
      </c>
      <c r="D106" s="10" t="s">
        <v>30</v>
      </c>
      <c r="E106" s="11" t="s">
        <v>60</v>
      </c>
      <c r="F106" s="12">
        <v>53.3</v>
      </c>
      <c r="G106" s="12">
        <f>F106-'Estatística'!$D$6/'Estatística'!$D$10</f>
        <v>52.29698037</v>
      </c>
      <c r="H106" s="13">
        <v>44946.0</v>
      </c>
      <c r="I106" s="14" t="str">
        <f t="shared" si="1"/>
        <v>jan.</v>
      </c>
      <c r="O106" s="8"/>
    </row>
    <row r="107" ht="15.75" customHeight="1">
      <c r="A107" s="19">
        <v>16.0</v>
      </c>
      <c r="B107" s="19" t="s">
        <v>175</v>
      </c>
      <c r="C107" s="19" t="s">
        <v>176</v>
      </c>
      <c r="D107" s="20" t="s">
        <v>11</v>
      </c>
      <c r="E107" s="21" t="s">
        <v>76</v>
      </c>
      <c r="F107" s="22">
        <v>12.59</v>
      </c>
      <c r="G107" s="22">
        <f>F107-'Estatística'!$D$6/'Estatística'!$D$10</f>
        <v>11.58698037</v>
      </c>
      <c r="H107" s="23">
        <v>44946.0</v>
      </c>
      <c r="I107" s="24" t="str">
        <f t="shared" si="1"/>
        <v>jan.</v>
      </c>
      <c r="O107" s="8"/>
    </row>
    <row r="108" ht="15.75" customHeight="1">
      <c r="A108" s="9">
        <v>62.0</v>
      </c>
      <c r="B108" s="9" t="s">
        <v>156</v>
      </c>
      <c r="C108" s="9" t="s">
        <v>157</v>
      </c>
      <c r="D108" s="10" t="s">
        <v>30</v>
      </c>
      <c r="E108" s="11" t="s">
        <v>72</v>
      </c>
      <c r="F108" s="12">
        <v>24.87</v>
      </c>
      <c r="G108" s="12">
        <f>F108-'Estatística'!$D$6/'Estatística'!$D$10</f>
        <v>23.86698037</v>
      </c>
      <c r="H108" s="13">
        <v>44946.0</v>
      </c>
      <c r="I108" s="14" t="str">
        <f t="shared" si="1"/>
        <v>jan.</v>
      </c>
      <c r="O108" s="8"/>
    </row>
    <row r="109" ht="15.75" customHeight="1">
      <c r="A109" s="19">
        <v>6.0</v>
      </c>
      <c r="B109" s="19" t="s">
        <v>183</v>
      </c>
      <c r="C109" s="19" t="s">
        <v>184</v>
      </c>
      <c r="D109" s="20" t="s">
        <v>30</v>
      </c>
      <c r="E109" s="21" t="s">
        <v>91</v>
      </c>
      <c r="F109" s="22">
        <v>2.95</v>
      </c>
      <c r="G109" s="22">
        <f>F109-'Estatística'!$D$6/'Estatística'!$D$10</f>
        <v>1.946980371</v>
      </c>
      <c r="H109" s="23">
        <v>44947.0</v>
      </c>
      <c r="I109" s="24" t="str">
        <f t="shared" si="1"/>
        <v>jan.</v>
      </c>
      <c r="O109" s="8"/>
    </row>
    <row r="110" ht="15.75" customHeight="1">
      <c r="A110" s="9">
        <v>95.0</v>
      </c>
      <c r="B110" s="9" t="s">
        <v>110</v>
      </c>
      <c r="C110" s="9" t="s">
        <v>111</v>
      </c>
      <c r="D110" s="10" t="s">
        <v>11</v>
      </c>
      <c r="E110" s="11" t="s">
        <v>52</v>
      </c>
      <c r="F110" s="12">
        <v>47.17</v>
      </c>
      <c r="G110" s="12">
        <f>F110-'Estatística'!$D$6/'Estatística'!$D$10</f>
        <v>46.16698037</v>
      </c>
      <c r="H110" s="13">
        <v>44947.0</v>
      </c>
      <c r="I110" s="14" t="str">
        <f t="shared" si="1"/>
        <v>jan.</v>
      </c>
      <c r="O110" s="8"/>
    </row>
    <row r="111" ht="15.75" customHeight="1">
      <c r="A111" s="19">
        <v>40.0</v>
      </c>
      <c r="B111" s="19" t="s">
        <v>122</v>
      </c>
      <c r="C111" s="19" t="s">
        <v>185</v>
      </c>
      <c r="D111" s="20" t="s">
        <v>30</v>
      </c>
      <c r="E111" s="21" t="s">
        <v>68</v>
      </c>
      <c r="F111" s="22">
        <v>7.56</v>
      </c>
      <c r="G111" s="22">
        <f>F111-'Estatística'!$D$6/'Estatística'!$D$10</f>
        <v>6.556980371</v>
      </c>
      <c r="H111" s="23">
        <v>44947.0</v>
      </c>
      <c r="I111" s="24" t="str">
        <f t="shared" si="1"/>
        <v>jan.</v>
      </c>
      <c r="O111" s="8"/>
    </row>
    <row r="112" ht="15.75" customHeight="1">
      <c r="A112" s="9">
        <v>71.0</v>
      </c>
      <c r="B112" s="9" t="s">
        <v>150</v>
      </c>
      <c r="C112" s="9" t="s">
        <v>151</v>
      </c>
      <c r="D112" s="10" t="s">
        <v>11</v>
      </c>
      <c r="E112" s="11" t="s">
        <v>68</v>
      </c>
      <c r="F112" s="12">
        <v>19.36</v>
      </c>
      <c r="G112" s="12">
        <f>F112-'Estatística'!$D$6/'Estatística'!$D$10</f>
        <v>18.35698037</v>
      </c>
      <c r="H112" s="13">
        <v>44948.0</v>
      </c>
      <c r="I112" s="14" t="str">
        <f t="shared" si="1"/>
        <v>jan.</v>
      </c>
      <c r="O112" s="8"/>
    </row>
    <row r="113" ht="15.75" customHeight="1">
      <c r="A113" s="19">
        <v>21.0</v>
      </c>
      <c r="B113" s="19" t="s">
        <v>186</v>
      </c>
      <c r="C113" s="19" t="s">
        <v>187</v>
      </c>
      <c r="D113" s="20" t="s">
        <v>30</v>
      </c>
      <c r="E113" s="21" t="s">
        <v>46</v>
      </c>
      <c r="F113" s="22">
        <v>12.21</v>
      </c>
      <c r="G113" s="22">
        <f>F113-'Estatística'!$D$6/'Estatística'!$D$10</f>
        <v>11.20698037</v>
      </c>
      <c r="H113" s="23">
        <v>44948.0</v>
      </c>
      <c r="I113" s="24" t="str">
        <f t="shared" si="1"/>
        <v>jan.</v>
      </c>
      <c r="O113" s="8"/>
    </row>
    <row r="114" ht="15.75" customHeight="1">
      <c r="A114" s="9">
        <v>12.0</v>
      </c>
      <c r="B114" s="9" t="s">
        <v>188</v>
      </c>
      <c r="C114" s="9" t="s">
        <v>189</v>
      </c>
      <c r="D114" s="10" t="s">
        <v>11</v>
      </c>
      <c r="E114" s="11" t="s">
        <v>76</v>
      </c>
      <c r="F114" s="12">
        <v>11.74</v>
      </c>
      <c r="G114" s="12">
        <f>F114-'Estatística'!$D$6/'Estatística'!$D$10</f>
        <v>10.73698037</v>
      </c>
      <c r="H114" s="13">
        <v>44948.0</v>
      </c>
      <c r="I114" s="14" t="str">
        <f t="shared" si="1"/>
        <v>jan.</v>
      </c>
      <c r="O114" s="8"/>
    </row>
    <row r="115" ht="15.75" customHeight="1">
      <c r="A115" s="19">
        <v>16.0</v>
      </c>
      <c r="B115" s="19" t="s">
        <v>175</v>
      </c>
      <c r="C115" s="19" t="s">
        <v>176</v>
      </c>
      <c r="D115" s="20" t="s">
        <v>30</v>
      </c>
      <c r="E115" s="21" t="s">
        <v>31</v>
      </c>
      <c r="F115" s="22">
        <v>55.75</v>
      </c>
      <c r="G115" s="22">
        <f>F115-'Estatística'!$D$6/'Estatística'!$D$10</f>
        <v>54.74698037</v>
      </c>
      <c r="H115" s="23">
        <v>44948.0</v>
      </c>
      <c r="I115" s="24" t="str">
        <f t="shared" si="1"/>
        <v>jan.</v>
      </c>
      <c r="O115" s="8"/>
    </row>
    <row r="116" ht="15.75" customHeight="1">
      <c r="A116" s="9">
        <v>24.0</v>
      </c>
      <c r="B116" s="9" t="s">
        <v>139</v>
      </c>
      <c r="C116" s="9" t="s">
        <v>140</v>
      </c>
      <c r="D116" s="10" t="s">
        <v>11</v>
      </c>
      <c r="E116" s="11" t="s">
        <v>35</v>
      </c>
      <c r="F116" s="12">
        <v>12.68</v>
      </c>
      <c r="G116" s="12">
        <f>F116-'Estatística'!$D$6/'Estatística'!$D$10</f>
        <v>11.67698037</v>
      </c>
      <c r="H116" s="13">
        <v>44948.0</v>
      </c>
      <c r="I116" s="14" t="str">
        <f t="shared" si="1"/>
        <v>jan.</v>
      </c>
      <c r="O116" s="8"/>
    </row>
    <row r="117" ht="15.75" customHeight="1">
      <c r="A117" s="19">
        <v>57.0</v>
      </c>
      <c r="B117" s="19" t="s">
        <v>92</v>
      </c>
      <c r="C117" s="19" t="s">
        <v>190</v>
      </c>
      <c r="D117" s="20" t="s">
        <v>30</v>
      </c>
      <c r="E117" s="21" t="s">
        <v>56</v>
      </c>
      <c r="F117" s="22">
        <v>75.0</v>
      </c>
      <c r="G117" s="22">
        <f>F117-'Estatística'!$D$6/'Estatística'!$D$10</f>
        <v>73.99698037</v>
      </c>
      <c r="H117" s="23">
        <v>44948.0</v>
      </c>
      <c r="I117" s="24" t="str">
        <f t="shared" si="1"/>
        <v>jan.</v>
      </c>
      <c r="O117" s="8"/>
    </row>
    <row r="118" ht="15.75" customHeight="1">
      <c r="A118" s="9">
        <v>66.0</v>
      </c>
      <c r="B118" s="9" t="s">
        <v>150</v>
      </c>
      <c r="C118" s="9" t="s">
        <v>158</v>
      </c>
      <c r="D118" s="10" t="s">
        <v>30</v>
      </c>
      <c r="E118" s="11" t="s">
        <v>60</v>
      </c>
      <c r="F118" s="12">
        <v>41.3</v>
      </c>
      <c r="G118" s="12">
        <f>F118-'Estatística'!$D$6/'Estatística'!$D$10</f>
        <v>40.29698037</v>
      </c>
      <c r="H118" s="13">
        <v>44949.0</v>
      </c>
      <c r="I118" s="14" t="str">
        <f t="shared" si="1"/>
        <v>jan.</v>
      </c>
      <c r="O118" s="8"/>
    </row>
    <row r="119" ht="15.75" customHeight="1">
      <c r="A119" s="19">
        <v>33.0</v>
      </c>
      <c r="B119" s="19" t="s">
        <v>191</v>
      </c>
      <c r="C119" s="19" t="s">
        <v>192</v>
      </c>
      <c r="D119" s="20" t="s">
        <v>30</v>
      </c>
      <c r="E119" s="21" t="s">
        <v>50</v>
      </c>
      <c r="F119" s="22">
        <v>21.42</v>
      </c>
      <c r="G119" s="22">
        <f>F119-'Estatística'!$D$6/'Estatística'!$D$10</f>
        <v>20.41698037</v>
      </c>
      <c r="H119" s="23">
        <v>44949.0</v>
      </c>
      <c r="I119" s="24" t="str">
        <f t="shared" si="1"/>
        <v>jan.</v>
      </c>
      <c r="O119" s="8"/>
    </row>
    <row r="120" ht="15.75" customHeight="1">
      <c r="A120" s="9">
        <v>15.0</v>
      </c>
      <c r="B120" s="9" t="s">
        <v>58</v>
      </c>
      <c r="C120" s="9" t="s">
        <v>59</v>
      </c>
      <c r="D120" s="10" t="s">
        <v>30</v>
      </c>
      <c r="E120" s="11" t="s">
        <v>88</v>
      </c>
      <c r="F120" s="12">
        <v>32.06</v>
      </c>
      <c r="G120" s="12">
        <f>F120-'Estatística'!$D$6/'Estatística'!$D$10</f>
        <v>31.05698037</v>
      </c>
      <c r="H120" s="13">
        <v>44949.0</v>
      </c>
      <c r="I120" s="14" t="str">
        <f t="shared" si="1"/>
        <v>jan.</v>
      </c>
      <c r="O120" s="8"/>
    </row>
    <row r="121" ht="15.75" customHeight="1">
      <c r="A121" s="19">
        <v>19.0</v>
      </c>
      <c r="B121" s="19" t="s">
        <v>41</v>
      </c>
      <c r="C121" s="19" t="s">
        <v>193</v>
      </c>
      <c r="D121" s="20" t="s">
        <v>11</v>
      </c>
      <c r="E121" s="21" t="s">
        <v>79</v>
      </c>
      <c r="F121" s="22">
        <v>35.35</v>
      </c>
      <c r="G121" s="22">
        <f>F121-'Estatística'!$D$6/'Estatística'!$D$10</f>
        <v>34.34698037</v>
      </c>
      <c r="H121" s="23">
        <v>44949.0</v>
      </c>
      <c r="I121" s="24" t="str">
        <f t="shared" si="1"/>
        <v>jan.</v>
      </c>
      <c r="O121" s="8"/>
    </row>
    <row r="122" ht="15.75" customHeight="1">
      <c r="A122" s="9">
        <v>71.0</v>
      </c>
      <c r="B122" s="9" t="s">
        <v>150</v>
      </c>
      <c r="C122" s="9" t="s">
        <v>151</v>
      </c>
      <c r="D122" s="10" t="s">
        <v>30</v>
      </c>
      <c r="E122" s="11" t="s">
        <v>94</v>
      </c>
      <c r="F122" s="12">
        <v>30.41</v>
      </c>
      <c r="G122" s="12">
        <f>F122-'Estatística'!$D$6/'Estatística'!$D$10</f>
        <v>29.40698037</v>
      </c>
      <c r="H122" s="13">
        <v>44949.0</v>
      </c>
      <c r="I122" s="14" t="str">
        <f t="shared" si="1"/>
        <v>jan.</v>
      </c>
      <c r="O122" s="8"/>
    </row>
    <row r="123" ht="15.75" customHeight="1">
      <c r="A123" s="19">
        <v>91.0</v>
      </c>
      <c r="B123" s="19" t="s">
        <v>112</v>
      </c>
      <c r="C123" s="19" t="s">
        <v>113</v>
      </c>
      <c r="D123" s="20" t="s">
        <v>11</v>
      </c>
      <c r="E123" s="21" t="s">
        <v>35</v>
      </c>
      <c r="F123" s="22">
        <v>15.02</v>
      </c>
      <c r="G123" s="22">
        <f>F123-'Estatística'!$D$6/'Estatística'!$D$10</f>
        <v>14.01698037</v>
      </c>
      <c r="H123" s="23">
        <v>44949.0</v>
      </c>
      <c r="I123" s="24" t="str">
        <f t="shared" si="1"/>
        <v>jan.</v>
      </c>
      <c r="O123" s="8"/>
    </row>
    <row r="124" ht="15.75" customHeight="1">
      <c r="A124" s="9">
        <v>5.0</v>
      </c>
      <c r="B124" s="9" t="s">
        <v>167</v>
      </c>
      <c r="C124" s="9" t="s">
        <v>168</v>
      </c>
      <c r="D124" s="10" t="s">
        <v>11</v>
      </c>
      <c r="E124" s="11" t="s">
        <v>82</v>
      </c>
      <c r="F124" s="12">
        <v>13.27</v>
      </c>
      <c r="G124" s="12">
        <f>F124-'Estatística'!$D$6/'Estatística'!$D$10</f>
        <v>12.26698037</v>
      </c>
      <c r="H124" s="13">
        <v>44949.0</v>
      </c>
      <c r="I124" s="14" t="str">
        <f t="shared" si="1"/>
        <v>jan.</v>
      </c>
      <c r="O124" s="8"/>
    </row>
    <row r="125" ht="15.75" customHeight="1">
      <c r="A125" s="19">
        <v>1.0</v>
      </c>
      <c r="B125" s="19" t="s">
        <v>194</v>
      </c>
      <c r="C125" s="19" t="s">
        <v>195</v>
      </c>
      <c r="D125" s="20" t="s">
        <v>30</v>
      </c>
      <c r="E125" s="21" t="s">
        <v>52</v>
      </c>
      <c r="F125" s="22">
        <v>65.02</v>
      </c>
      <c r="G125" s="22">
        <f>F125-'Estatística'!$D$6/'Estatística'!$D$10</f>
        <v>64.01698037</v>
      </c>
      <c r="H125" s="23">
        <v>44949.0</v>
      </c>
      <c r="I125" s="24" t="str">
        <f t="shared" si="1"/>
        <v>jan.</v>
      </c>
      <c r="O125" s="8"/>
    </row>
    <row r="126" ht="15.75" customHeight="1">
      <c r="A126" s="9">
        <v>93.0</v>
      </c>
      <c r="B126" s="9" t="s">
        <v>129</v>
      </c>
      <c r="C126" s="9" t="s">
        <v>130</v>
      </c>
      <c r="D126" s="10" t="s">
        <v>11</v>
      </c>
      <c r="E126" s="11" t="s">
        <v>97</v>
      </c>
      <c r="F126" s="12">
        <v>3.38</v>
      </c>
      <c r="G126" s="12">
        <f>F126-'Estatística'!$D$6/'Estatística'!$D$10</f>
        <v>2.376980371</v>
      </c>
      <c r="H126" s="13">
        <v>44949.0</v>
      </c>
      <c r="I126" s="14" t="str">
        <f t="shared" si="1"/>
        <v>jan.</v>
      </c>
      <c r="O126" s="8"/>
    </row>
    <row r="127" ht="15.75" customHeight="1">
      <c r="A127" s="19">
        <v>98.0</v>
      </c>
      <c r="B127" s="19" t="s">
        <v>159</v>
      </c>
      <c r="C127" s="19" t="s">
        <v>196</v>
      </c>
      <c r="D127" s="20" t="s">
        <v>30</v>
      </c>
      <c r="E127" s="21" t="s">
        <v>85</v>
      </c>
      <c r="F127" s="22">
        <v>12.57</v>
      </c>
      <c r="G127" s="22">
        <f>F127-'Estatística'!$D$6/'Estatística'!$D$10</f>
        <v>11.56698037</v>
      </c>
      <c r="H127" s="23">
        <v>44949.0</v>
      </c>
      <c r="I127" s="24" t="str">
        <f t="shared" si="1"/>
        <v>jan.</v>
      </c>
      <c r="O127" s="8"/>
    </row>
    <row r="128" ht="15.75" customHeight="1">
      <c r="A128" s="9">
        <v>92.0</v>
      </c>
      <c r="B128" s="9" t="s">
        <v>112</v>
      </c>
      <c r="C128" s="9" t="s">
        <v>197</v>
      </c>
      <c r="D128" s="10" t="s">
        <v>30</v>
      </c>
      <c r="E128" s="11" t="s">
        <v>39</v>
      </c>
      <c r="F128" s="12">
        <v>42.85</v>
      </c>
      <c r="G128" s="12">
        <f>F128-'Estatística'!$D$6/'Estatística'!$D$10</f>
        <v>41.84698037</v>
      </c>
      <c r="H128" s="13">
        <v>44950.0</v>
      </c>
      <c r="I128" s="14" t="str">
        <f t="shared" si="1"/>
        <v>jan.</v>
      </c>
      <c r="O128" s="8"/>
    </row>
    <row r="129" ht="15.75" customHeight="1">
      <c r="A129" s="19">
        <v>38.0</v>
      </c>
      <c r="B129" s="19" t="s">
        <v>116</v>
      </c>
      <c r="C129" s="19" t="s">
        <v>117</v>
      </c>
      <c r="D129" s="20" t="s">
        <v>11</v>
      </c>
      <c r="E129" s="21" t="s">
        <v>43</v>
      </c>
      <c r="F129" s="22">
        <v>16.56</v>
      </c>
      <c r="G129" s="22">
        <f>F129-'Estatística'!$D$6/'Estatística'!$D$10</f>
        <v>15.55698037</v>
      </c>
      <c r="H129" s="23">
        <v>44950.0</v>
      </c>
      <c r="I129" s="24" t="str">
        <f t="shared" si="1"/>
        <v>jan.</v>
      </c>
      <c r="O129" s="8"/>
    </row>
    <row r="130" ht="15.75" customHeight="1">
      <c r="A130" s="9">
        <v>96.0</v>
      </c>
      <c r="B130" s="9" t="s">
        <v>163</v>
      </c>
      <c r="C130" s="9" t="s">
        <v>164</v>
      </c>
      <c r="D130" s="10" t="s">
        <v>30</v>
      </c>
      <c r="E130" s="11" t="s">
        <v>46</v>
      </c>
      <c r="F130" s="12">
        <v>13.48</v>
      </c>
      <c r="G130" s="12">
        <f>F130-'Estatística'!$D$6/'Estatística'!$D$10</f>
        <v>12.47698037</v>
      </c>
      <c r="H130" s="13">
        <v>44950.0</v>
      </c>
      <c r="I130" s="14" t="str">
        <f t="shared" si="1"/>
        <v>jan.</v>
      </c>
      <c r="O130" s="8"/>
    </row>
    <row r="131" ht="15.75" customHeight="1">
      <c r="A131" s="19">
        <v>1.0</v>
      </c>
      <c r="B131" s="19" t="s">
        <v>194</v>
      </c>
      <c r="C131" s="19" t="s">
        <v>195</v>
      </c>
      <c r="D131" s="20" t="s">
        <v>30</v>
      </c>
      <c r="E131" s="21" t="s">
        <v>31</v>
      </c>
      <c r="F131" s="22">
        <v>37.56</v>
      </c>
      <c r="G131" s="22">
        <f>F131-'Estatística'!$D$6/'Estatística'!$D$10</f>
        <v>36.55698037</v>
      </c>
      <c r="H131" s="23">
        <v>44950.0</v>
      </c>
      <c r="I131" s="24" t="str">
        <f t="shared" si="1"/>
        <v>jan.</v>
      </c>
      <c r="O131" s="8"/>
    </row>
    <row r="132" ht="15.75" customHeight="1">
      <c r="A132" s="9">
        <v>69.0</v>
      </c>
      <c r="B132" s="9" t="s">
        <v>108</v>
      </c>
      <c r="C132" s="9" t="s">
        <v>145</v>
      </c>
      <c r="D132" s="10" t="s">
        <v>30</v>
      </c>
      <c r="E132" s="11" t="s">
        <v>97</v>
      </c>
      <c r="F132" s="12">
        <v>2.31</v>
      </c>
      <c r="G132" s="12">
        <f>F132-'Estatística'!$D$6/'Estatística'!$D$10</f>
        <v>1.306980371</v>
      </c>
      <c r="H132" s="13">
        <v>44950.0</v>
      </c>
      <c r="I132" s="14" t="str">
        <f t="shared" si="1"/>
        <v>jan.</v>
      </c>
      <c r="O132" s="8"/>
    </row>
    <row r="133" ht="15.75" customHeight="1">
      <c r="A133" s="19">
        <v>43.0</v>
      </c>
      <c r="B133" s="19" t="s">
        <v>95</v>
      </c>
      <c r="C133" s="19" t="s">
        <v>96</v>
      </c>
      <c r="D133" s="20" t="s">
        <v>11</v>
      </c>
      <c r="E133" s="21" t="s">
        <v>97</v>
      </c>
      <c r="F133" s="22">
        <v>2.42</v>
      </c>
      <c r="G133" s="22">
        <f>F133-'Estatística'!$D$6/'Estatística'!$D$10</f>
        <v>1.416980371</v>
      </c>
      <c r="H133" s="23">
        <v>44950.0</v>
      </c>
      <c r="I133" s="24" t="str">
        <f t="shared" si="1"/>
        <v>jan.</v>
      </c>
      <c r="O133" s="8"/>
    </row>
    <row r="134" ht="15.75" customHeight="1">
      <c r="A134" s="9">
        <v>14.0</v>
      </c>
      <c r="B134" s="9" t="s">
        <v>171</v>
      </c>
      <c r="C134" s="9" t="s">
        <v>172</v>
      </c>
      <c r="D134" s="10" t="s">
        <v>11</v>
      </c>
      <c r="E134" s="11" t="s">
        <v>46</v>
      </c>
      <c r="F134" s="12">
        <v>12.49</v>
      </c>
      <c r="G134" s="12">
        <f>F134-'Estatística'!$D$6/'Estatística'!$D$10</f>
        <v>11.48698037</v>
      </c>
      <c r="H134" s="13">
        <v>44951.0</v>
      </c>
      <c r="I134" s="14" t="str">
        <f t="shared" si="1"/>
        <v>jan.</v>
      </c>
      <c r="O134" s="8"/>
    </row>
    <row r="135" ht="15.75" customHeight="1">
      <c r="A135" s="19">
        <v>43.0</v>
      </c>
      <c r="B135" s="19" t="s">
        <v>95</v>
      </c>
      <c r="C135" s="19" t="s">
        <v>96</v>
      </c>
      <c r="D135" s="20" t="s">
        <v>30</v>
      </c>
      <c r="E135" s="21" t="s">
        <v>35</v>
      </c>
      <c r="F135" s="22">
        <v>14.98</v>
      </c>
      <c r="G135" s="22">
        <f>F135-'Estatística'!$D$6/'Estatística'!$D$10</f>
        <v>13.97698037</v>
      </c>
      <c r="H135" s="23">
        <v>44951.0</v>
      </c>
      <c r="I135" s="24" t="str">
        <f t="shared" si="1"/>
        <v>jan.</v>
      </c>
      <c r="O135" s="8"/>
    </row>
    <row r="136" ht="15.75" customHeight="1">
      <c r="A136" s="9">
        <v>85.0</v>
      </c>
      <c r="B136" s="9" t="s">
        <v>198</v>
      </c>
      <c r="C136" s="9" t="s">
        <v>199</v>
      </c>
      <c r="D136" s="10" t="s">
        <v>11</v>
      </c>
      <c r="E136" s="11" t="s">
        <v>39</v>
      </c>
      <c r="F136" s="12">
        <v>32.06</v>
      </c>
      <c r="G136" s="12">
        <f>F136-'Estatística'!$D$6/'Estatística'!$D$10</f>
        <v>31.05698037</v>
      </c>
      <c r="H136" s="13">
        <v>44952.0</v>
      </c>
      <c r="I136" s="14" t="str">
        <f t="shared" si="1"/>
        <v>jan.</v>
      </c>
      <c r="O136" s="8"/>
    </row>
    <row r="137" ht="15.75" customHeight="1">
      <c r="A137" s="19">
        <v>62.0</v>
      </c>
      <c r="B137" s="19" t="s">
        <v>156</v>
      </c>
      <c r="C137" s="19" t="s">
        <v>157</v>
      </c>
      <c r="D137" s="20" t="s">
        <v>30</v>
      </c>
      <c r="E137" s="21" t="s">
        <v>39</v>
      </c>
      <c r="F137" s="22">
        <v>28.17</v>
      </c>
      <c r="G137" s="22">
        <f>F137-'Estatística'!$D$6/'Estatística'!$D$10</f>
        <v>27.16698037</v>
      </c>
      <c r="H137" s="23">
        <v>44952.0</v>
      </c>
      <c r="I137" s="24" t="str">
        <f t="shared" si="1"/>
        <v>jan.</v>
      </c>
      <c r="O137" s="8"/>
    </row>
    <row r="138" ht="15.75" customHeight="1">
      <c r="A138" s="9">
        <v>33.0</v>
      </c>
      <c r="B138" s="9" t="s">
        <v>191</v>
      </c>
      <c r="C138" s="9" t="s">
        <v>192</v>
      </c>
      <c r="D138" s="10" t="s">
        <v>11</v>
      </c>
      <c r="E138" s="11" t="s">
        <v>88</v>
      </c>
      <c r="F138" s="12">
        <v>38.2</v>
      </c>
      <c r="G138" s="12">
        <f>F138-'Estatística'!$D$6/'Estatística'!$D$10</f>
        <v>37.19698037</v>
      </c>
      <c r="H138" s="13">
        <v>44952.0</v>
      </c>
      <c r="I138" s="14" t="str">
        <f t="shared" si="1"/>
        <v>jan.</v>
      </c>
      <c r="O138" s="8"/>
    </row>
    <row r="139" ht="15.75" customHeight="1">
      <c r="A139" s="19">
        <v>27.0</v>
      </c>
      <c r="B139" s="19" t="s">
        <v>173</v>
      </c>
      <c r="C139" s="19" t="s">
        <v>174</v>
      </c>
      <c r="D139" s="20" t="s">
        <v>11</v>
      </c>
      <c r="E139" s="21" t="s">
        <v>56</v>
      </c>
      <c r="F139" s="22">
        <v>73.99</v>
      </c>
      <c r="G139" s="22">
        <f>F139-'Estatística'!$D$6/'Estatística'!$D$10</f>
        <v>72.98698037</v>
      </c>
      <c r="H139" s="23">
        <v>44952.0</v>
      </c>
      <c r="I139" s="24" t="str">
        <f t="shared" si="1"/>
        <v>jan.</v>
      </c>
      <c r="O139" s="8"/>
    </row>
    <row r="140" ht="15.75" customHeight="1">
      <c r="A140" s="9">
        <v>25.0</v>
      </c>
      <c r="B140" s="9" t="s">
        <v>154</v>
      </c>
      <c r="C140" s="9" t="s">
        <v>155</v>
      </c>
      <c r="D140" s="10" t="s">
        <v>30</v>
      </c>
      <c r="E140" s="11" t="s">
        <v>56</v>
      </c>
      <c r="F140" s="12">
        <v>61.1</v>
      </c>
      <c r="G140" s="12">
        <f>F140-'Estatística'!$D$6/'Estatística'!$D$10</f>
        <v>60.09698037</v>
      </c>
      <c r="H140" s="13">
        <v>44953.0</v>
      </c>
      <c r="I140" s="14" t="str">
        <f t="shared" si="1"/>
        <v>jan.</v>
      </c>
      <c r="O140" s="8"/>
    </row>
    <row r="141" ht="15.75" customHeight="1">
      <c r="A141" s="19">
        <v>17.0</v>
      </c>
      <c r="B141" s="19" t="s">
        <v>200</v>
      </c>
      <c r="C141" s="19" t="s">
        <v>201</v>
      </c>
      <c r="D141" s="20" t="s">
        <v>11</v>
      </c>
      <c r="E141" s="21" t="s">
        <v>46</v>
      </c>
      <c r="F141" s="22">
        <v>14.14</v>
      </c>
      <c r="G141" s="22">
        <f>F141-'Estatística'!$D$6/'Estatística'!$D$10</f>
        <v>13.13698037</v>
      </c>
      <c r="H141" s="23">
        <v>44953.0</v>
      </c>
      <c r="I141" s="24" t="str">
        <f t="shared" si="1"/>
        <v>jan.</v>
      </c>
      <c r="O141" s="8"/>
    </row>
    <row r="142" ht="15.75" customHeight="1">
      <c r="A142" s="9">
        <v>98.0</v>
      </c>
      <c r="B142" s="9" t="s">
        <v>159</v>
      </c>
      <c r="C142" s="9" t="s">
        <v>196</v>
      </c>
      <c r="D142" s="10" t="s">
        <v>11</v>
      </c>
      <c r="E142" s="11" t="s">
        <v>79</v>
      </c>
      <c r="F142" s="12">
        <v>27.74</v>
      </c>
      <c r="G142" s="12">
        <f>F142-'Estatística'!$D$6/'Estatística'!$D$10</f>
        <v>26.73698037</v>
      </c>
      <c r="H142" s="13">
        <v>44953.0</v>
      </c>
      <c r="I142" s="14" t="str">
        <f t="shared" si="1"/>
        <v>jan.</v>
      </c>
      <c r="O142" s="8"/>
    </row>
    <row r="143" ht="15.75" customHeight="1">
      <c r="A143" s="19">
        <v>39.0</v>
      </c>
      <c r="B143" s="19" t="s">
        <v>89</v>
      </c>
      <c r="C143" s="19" t="s">
        <v>90</v>
      </c>
      <c r="D143" s="20" t="s">
        <v>11</v>
      </c>
      <c r="E143" s="21" t="s">
        <v>68</v>
      </c>
      <c r="F143" s="22">
        <v>19.57</v>
      </c>
      <c r="G143" s="22">
        <f>F143-'Estatística'!$D$6/'Estatística'!$D$10</f>
        <v>18.56698037</v>
      </c>
      <c r="H143" s="23">
        <v>44953.0</v>
      </c>
      <c r="I143" s="24" t="str">
        <f t="shared" si="1"/>
        <v>jan.</v>
      </c>
      <c r="O143" s="8"/>
    </row>
    <row r="144" ht="15.75" customHeight="1">
      <c r="A144" s="9">
        <v>25.0</v>
      </c>
      <c r="B144" s="9" t="s">
        <v>154</v>
      </c>
      <c r="C144" s="9" t="s">
        <v>155</v>
      </c>
      <c r="D144" s="10" t="s">
        <v>30</v>
      </c>
      <c r="E144" s="11" t="s">
        <v>50</v>
      </c>
      <c r="F144" s="12">
        <v>33.66</v>
      </c>
      <c r="G144" s="12">
        <f>F144-'Estatística'!$D$6/'Estatística'!$D$10</f>
        <v>32.65698037</v>
      </c>
      <c r="H144" s="13">
        <v>44953.0</v>
      </c>
      <c r="I144" s="14" t="str">
        <f t="shared" si="1"/>
        <v>jan.</v>
      </c>
      <c r="O144" s="8"/>
    </row>
    <row r="145" ht="15.75" customHeight="1">
      <c r="A145" s="19">
        <v>55.0</v>
      </c>
      <c r="B145" s="19" t="s">
        <v>202</v>
      </c>
      <c r="C145" s="19" t="s">
        <v>203</v>
      </c>
      <c r="D145" s="20" t="s">
        <v>30</v>
      </c>
      <c r="E145" s="21" t="s">
        <v>52</v>
      </c>
      <c r="F145" s="22">
        <v>69.3</v>
      </c>
      <c r="G145" s="22">
        <f>F145-'Estatística'!$D$6/'Estatística'!$D$10</f>
        <v>68.29698037</v>
      </c>
      <c r="H145" s="23">
        <v>44953.0</v>
      </c>
      <c r="I145" s="24" t="str">
        <f t="shared" si="1"/>
        <v>jan.</v>
      </c>
      <c r="O145" s="8"/>
    </row>
    <row r="146" ht="15.75" customHeight="1">
      <c r="A146" s="9">
        <v>67.0</v>
      </c>
      <c r="B146" s="9" t="s">
        <v>204</v>
      </c>
      <c r="C146" s="9" t="s">
        <v>205</v>
      </c>
      <c r="D146" s="10" t="s">
        <v>30</v>
      </c>
      <c r="E146" s="11" t="s">
        <v>82</v>
      </c>
      <c r="F146" s="12">
        <v>12.93</v>
      </c>
      <c r="G146" s="12">
        <f>F146-'Estatística'!$D$6/'Estatística'!$D$10</f>
        <v>11.92698037</v>
      </c>
      <c r="H146" s="13">
        <v>44953.0</v>
      </c>
      <c r="I146" s="14" t="str">
        <f t="shared" si="1"/>
        <v>jan.</v>
      </c>
      <c r="O146" s="8"/>
    </row>
    <row r="147" ht="15.75" customHeight="1">
      <c r="A147" s="19">
        <v>68.0</v>
      </c>
      <c r="B147" s="19" t="s">
        <v>41</v>
      </c>
      <c r="C147" s="19" t="s">
        <v>42</v>
      </c>
      <c r="D147" s="20" t="s">
        <v>30</v>
      </c>
      <c r="E147" s="21" t="s">
        <v>97</v>
      </c>
      <c r="F147" s="22">
        <v>2.32</v>
      </c>
      <c r="G147" s="22">
        <f>F147-'Estatística'!$D$6/'Estatística'!$D$10</f>
        <v>1.316980371</v>
      </c>
      <c r="H147" s="23">
        <v>44953.0</v>
      </c>
      <c r="I147" s="24" t="str">
        <f t="shared" si="1"/>
        <v>jan.</v>
      </c>
      <c r="O147" s="8"/>
    </row>
    <row r="148" ht="15.75" customHeight="1">
      <c r="A148" s="9">
        <v>14.0</v>
      </c>
      <c r="B148" s="9" t="s">
        <v>171</v>
      </c>
      <c r="C148" s="9" t="s">
        <v>172</v>
      </c>
      <c r="D148" s="10" t="s">
        <v>11</v>
      </c>
      <c r="E148" s="11" t="s">
        <v>94</v>
      </c>
      <c r="F148" s="12">
        <v>28.05</v>
      </c>
      <c r="G148" s="12">
        <f>F148-'Estatística'!$D$6/'Estatística'!$D$10</f>
        <v>27.04698037</v>
      </c>
      <c r="H148" s="13">
        <v>44953.0</v>
      </c>
      <c r="I148" s="14" t="str">
        <f t="shared" si="1"/>
        <v>jan.</v>
      </c>
      <c r="O148" s="8"/>
    </row>
    <row r="149" ht="15.75" customHeight="1">
      <c r="A149" s="19">
        <v>59.0</v>
      </c>
      <c r="B149" s="19" t="s">
        <v>103</v>
      </c>
      <c r="C149" s="19" t="s">
        <v>104</v>
      </c>
      <c r="D149" s="20" t="s">
        <v>30</v>
      </c>
      <c r="E149" s="21" t="s">
        <v>79</v>
      </c>
      <c r="F149" s="22">
        <v>35.57</v>
      </c>
      <c r="G149" s="22">
        <f>F149-'Estatística'!$D$6/'Estatística'!$D$10</f>
        <v>34.56698037</v>
      </c>
      <c r="H149" s="23">
        <v>44954.0</v>
      </c>
      <c r="I149" s="24" t="str">
        <f t="shared" si="1"/>
        <v>jan.</v>
      </c>
      <c r="O149" s="8"/>
    </row>
    <row r="150" ht="15.75" customHeight="1">
      <c r="A150" s="9">
        <v>50.0</v>
      </c>
      <c r="B150" s="9" t="s">
        <v>33</v>
      </c>
      <c r="C150" s="9" t="s">
        <v>34</v>
      </c>
      <c r="D150" s="10" t="s">
        <v>30</v>
      </c>
      <c r="E150" s="11" t="s">
        <v>91</v>
      </c>
      <c r="F150" s="12">
        <v>3.28</v>
      </c>
      <c r="G150" s="12">
        <f>F150-'Estatística'!$D$6/'Estatística'!$D$10</f>
        <v>2.276980371</v>
      </c>
      <c r="H150" s="13">
        <v>44954.0</v>
      </c>
      <c r="I150" s="14" t="str">
        <f t="shared" si="1"/>
        <v>jan.</v>
      </c>
      <c r="O150" s="8"/>
    </row>
    <row r="151" ht="15.75" customHeight="1">
      <c r="A151" s="19">
        <v>33.0</v>
      </c>
      <c r="B151" s="19" t="s">
        <v>191</v>
      </c>
      <c r="C151" s="19" t="s">
        <v>192</v>
      </c>
      <c r="D151" s="20" t="s">
        <v>30</v>
      </c>
      <c r="E151" s="21" t="s">
        <v>43</v>
      </c>
      <c r="F151" s="22">
        <v>18.66</v>
      </c>
      <c r="G151" s="22">
        <f>F151-'Estatística'!$D$6/'Estatística'!$D$10</f>
        <v>17.65698037</v>
      </c>
      <c r="H151" s="23">
        <v>44954.0</v>
      </c>
      <c r="I151" s="24" t="str">
        <f t="shared" si="1"/>
        <v>jan.</v>
      </c>
      <c r="O151" s="8"/>
    </row>
    <row r="152" ht="15.75" customHeight="1">
      <c r="A152" s="9">
        <v>100.0</v>
      </c>
      <c r="B152" s="9" t="s">
        <v>48</v>
      </c>
      <c r="C152" s="9" t="s">
        <v>49</v>
      </c>
      <c r="D152" s="10" t="s">
        <v>30</v>
      </c>
      <c r="E152" s="11" t="s">
        <v>12</v>
      </c>
      <c r="F152" s="12">
        <v>10.78</v>
      </c>
      <c r="G152" s="12">
        <f>F152-'Estatística'!$D$6/'Estatística'!$D$10</f>
        <v>9.776980371</v>
      </c>
      <c r="H152" s="13">
        <v>44954.0</v>
      </c>
      <c r="I152" s="14" t="str">
        <f t="shared" si="1"/>
        <v>jan.</v>
      </c>
      <c r="O152" s="8"/>
    </row>
    <row r="153" ht="15.75" customHeight="1">
      <c r="A153" s="19">
        <v>88.0</v>
      </c>
      <c r="B153" s="19" t="s">
        <v>200</v>
      </c>
      <c r="C153" s="19" t="s">
        <v>206</v>
      </c>
      <c r="D153" s="20" t="s">
        <v>11</v>
      </c>
      <c r="E153" s="21" t="s">
        <v>39</v>
      </c>
      <c r="F153" s="22">
        <v>31.59</v>
      </c>
      <c r="G153" s="22">
        <f>F153-'Estatística'!$D$6/'Estatística'!$D$10</f>
        <v>30.58698037</v>
      </c>
      <c r="H153" s="23">
        <v>44954.0</v>
      </c>
      <c r="I153" s="24" t="str">
        <f t="shared" si="1"/>
        <v>jan.</v>
      </c>
      <c r="O153" s="8"/>
    </row>
    <row r="154" ht="15.75" customHeight="1">
      <c r="A154" s="9">
        <v>4.0</v>
      </c>
      <c r="B154" s="9" t="s">
        <v>118</v>
      </c>
      <c r="C154" s="9" t="s">
        <v>119</v>
      </c>
      <c r="D154" s="10" t="s">
        <v>11</v>
      </c>
      <c r="E154" s="11" t="s">
        <v>68</v>
      </c>
      <c r="F154" s="12">
        <v>6.78</v>
      </c>
      <c r="G154" s="12">
        <f>F154-'Estatística'!$D$6/'Estatística'!$D$10</f>
        <v>5.776980371</v>
      </c>
      <c r="H154" s="13">
        <v>44958.0</v>
      </c>
      <c r="I154" s="14" t="str">
        <f t="shared" si="1"/>
        <v>fev.</v>
      </c>
      <c r="O154" s="8"/>
    </row>
    <row r="155" ht="15.75" customHeight="1">
      <c r="A155" s="19">
        <v>85.0</v>
      </c>
      <c r="B155" s="19" t="s">
        <v>198</v>
      </c>
      <c r="C155" s="19" t="s">
        <v>199</v>
      </c>
      <c r="D155" s="20" t="s">
        <v>30</v>
      </c>
      <c r="E155" s="21" t="s">
        <v>35</v>
      </c>
      <c r="F155" s="22">
        <v>13.32</v>
      </c>
      <c r="G155" s="22">
        <f>F155-'Estatística'!$D$6/'Estatística'!$D$10</f>
        <v>12.31698037</v>
      </c>
      <c r="H155" s="23">
        <v>44958.0</v>
      </c>
      <c r="I155" s="24" t="str">
        <f t="shared" si="1"/>
        <v>fev.</v>
      </c>
      <c r="O155" s="8"/>
    </row>
    <row r="156" ht="15.75" customHeight="1">
      <c r="A156" s="9">
        <v>28.0</v>
      </c>
      <c r="B156" s="9" t="s">
        <v>77</v>
      </c>
      <c r="C156" s="9" t="s">
        <v>78</v>
      </c>
      <c r="D156" s="10" t="s">
        <v>11</v>
      </c>
      <c r="E156" s="11" t="s">
        <v>35</v>
      </c>
      <c r="F156" s="12">
        <v>20.65</v>
      </c>
      <c r="G156" s="12">
        <f>F156-'Estatística'!$D$6/'Estatística'!$D$10</f>
        <v>19.64698037</v>
      </c>
      <c r="H156" s="13">
        <v>44958.0</v>
      </c>
      <c r="I156" s="14" t="str">
        <f t="shared" si="1"/>
        <v>fev.</v>
      </c>
      <c r="O156" s="8"/>
    </row>
    <row r="157" ht="15.75" customHeight="1">
      <c r="A157" s="19">
        <v>55.0</v>
      </c>
      <c r="B157" s="19" t="s">
        <v>202</v>
      </c>
      <c r="C157" s="19" t="s">
        <v>203</v>
      </c>
      <c r="D157" s="20" t="s">
        <v>30</v>
      </c>
      <c r="E157" s="21" t="s">
        <v>46</v>
      </c>
      <c r="F157" s="22">
        <v>12.75</v>
      </c>
      <c r="G157" s="22">
        <f>F157-'Estatística'!$D$6/'Estatística'!$D$10</f>
        <v>11.74698037</v>
      </c>
      <c r="H157" s="23">
        <v>44959.0</v>
      </c>
      <c r="I157" s="24" t="str">
        <f t="shared" si="1"/>
        <v>fev.</v>
      </c>
      <c r="O157" s="8"/>
    </row>
    <row r="158" ht="15.75" customHeight="1">
      <c r="A158" s="9">
        <v>2.0</v>
      </c>
      <c r="B158" s="9" t="s">
        <v>83</v>
      </c>
      <c r="C158" s="9" t="s">
        <v>84</v>
      </c>
      <c r="D158" s="10" t="s">
        <v>11</v>
      </c>
      <c r="E158" s="11" t="s">
        <v>12</v>
      </c>
      <c r="F158" s="12">
        <v>10.57</v>
      </c>
      <c r="G158" s="12">
        <f>F158-'Estatística'!$D$6/'Estatística'!$D$10</f>
        <v>9.566980371</v>
      </c>
      <c r="H158" s="13">
        <v>44959.0</v>
      </c>
      <c r="I158" s="14" t="str">
        <f t="shared" si="1"/>
        <v>fev.</v>
      </c>
      <c r="O158" s="8"/>
    </row>
    <row r="159" ht="15.75" customHeight="1">
      <c r="A159" s="19">
        <v>67.0</v>
      </c>
      <c r="B159" s="19" t="s">
        <v>204</v>
      </c>
      <c r="C159" s="19" t="s">
        <v>205</v>
      </c>
      <c r="D159" s="20" t="s">
        <v>11</v>
      </c>
      <c r="E159" s="21" t="s">
        <v>56</v>
      </c>
      <c r="F159" s="22">
        <v>79.64</v>
      </c>
      <c r="G159" s="22">
        <f>F159-'Estatística'!$D$6/'Estatística'!$D$10</f>
        <v>78.63698037</v>
      </c>
      <c r="H159" s="23">
        <v>44959.0</v>
      </c>
      <c r="I159" s="24" t="str">
        <f t="shared" si="1"/>
        <v>fev.</v>
      </c>
      <c r="O159" s="8"/>
    </row>
    <row r="160" ht="15.75" customHeight="1">
      <c r="A160" s="9">
        <v>9.0</v>
      </c>
      <c r="B160" s="9" t="s">
        <v>207</v>
      </c>
      <c r="C160" s="9" t="s">
        <v>208</v>
      </c>
      <c r="D160" s="10" t="s">
        <v>30</v>
      </c>
      <c r="E160" s="11" t="s">
        <v>91</v>
      </c>
      <c r="F160" s="12">
        <v>3.28</v>
      </c>
      <c r="G160" s="12">
        <f>F160-'Estatística'!$D$6/'Estatística'!$D$10</f>
        <v>2.276980371</v>
      </c>
      <c r="H160" s="13">
        <v>44959.0</v>
      </c>
      <c r="I160" s="14" t="str">
        <f t="shared" si="1"/>
        <v>fev.</v>
      </c>
      <c r="O160" s="8"/>
    </row>
    <row r="161" ht="15.75" customHeight="1">
      <c r="A161" s="19">
        <v>34.0</v>
      </c>
      <c r="B161" s="19" t="s">
        <v>177</v>
      </c>
      <c r="C161" s="19" t="s">
        <v>178</v>
      </c>
      <c r="D161" s="20" t="s">
        <v>30</v>
      </c>
      <c r="E161" s="21" t="s">
        <v>72</v>
      </c>
      <c r="F161" s="22">
        <v>22.9</v>
      </c>
      <c r="G161" s="22">
        <f>F161-'Estatística'!$D$6/'Estatística'!$D$10</f>
        <v>21.89698037</v>
      </c>
      <c r="H161" s="23">
        <v>44959.0</v>
      </c>
      <c r="I161" s="24" t="str">
        <f t="shared" si="1"/>
        <v>fev.</v>
      </c>
      <c r="O161" s="8"/>
    </row>
    <row r="162" ht="15.75" customHeight="1">
      <c r="A162" s="9">
        <v>38.0</v>
      </c>
      <c r="B162" s="9" t="s">
        <v>116</v>
      </c>
      <c r="C162" s="9" t="s">
        <v>117</v>
      </c>
      <c r="D162" s="10" t="s">
        <v>11</v>
      </c>
      <c r="E162" s="11" t="s">
        <v>94</v>
      </c>
      <c r="F162" s="12">
        <v>30.98</v>
      </c>
      <c r="G162" s="12">
        <f>F162-'Estatística'!$D$6/'Estatística'!$D$10</f>
        <v>29.97698037</v>
      </c>
      <c r="H162" s="13">
        <v>44959.0</v>
      </c>
      <c r="I162" s="14" t="str">
        <f t="shared" si="1"/>
        <v>fev.</v>
      </c>
      <c r="O162" s="8"/>
    </row>
    <row r="163" ht="15.75" customHeight="1">
      <c r="A163" s="19">
        <v>95.0</v>
      </c>
      <c r="B163" s="19" t="s">
        <v>110</v>
      </c>
      <c r="C163" s="19" t="s">
        <v>111</v>
      </c>
      <c r="D163" s="20" t="s">
        <v>11</v>
      </c>
      <c r="E163" s="21" t="s">
        <v>88</v>
      </c>
      <c r="F163" s="22">
        <v>35.02</v>
      </c>
      <c r="G163" s="22">
        <f>F163-'Estatística'!$D$6/'Estatística'!$D$10</f>
        <v>34.01698037</v>
      </c>
      <c r="H163" s="23">
        <v>44959.0</v>
      </c>
      <c r="I163" s="24" t="str">
        <f t="shared" si="1"/>
        <v>fev.</v>
      </c>
      <c r="O163" s="8"/>
    </row>
    <row r="164" ht="15.75" customHeight="1">
      <c r="A164" s="9">
        <v>20.0</v>
      </c>
      <c r="B164" s="9" t="s">
        <v>161</v>
      </c>
      <c r="C164" s="9" t="s">
        <v>162</v>
      </c>
      <c r="D164" s="10" t="s">
        <v>11</v>
      </c>
      <c r="E164" s="11" t="s">
        <v>94</v>
      </c>
      <c r="F164" s="12">
        <v>31.3</v>
      </c>
      <c r="G164" s="12">
        <f>F164-'Estatística'!$D$6/'Estatística'!$D$10</f>
        <v>30.29698037</v>
      </c>
      <c r="H164" s="13">
        <v>44959.0</v>
      </c>
      <c r="I164" s="14" t="str">
        <f t="shared" si="1"/>
        <v>fev.</v>
      </c>
      <c r="O164" s="8"/>
    </row>
    <row r="165" ht="15.75" customHeight="1">
      <c r="A165" s="19">
        <v>21.0</v>
      </c>
      <c r="B165" s="19" t="s">
        <v>186</v>
      </c>
      <c r="C165" s="19" t="s">
        <v>187</v>
      </c>
      <c r="D165" s="20" t="s">
        <v>30</v>
      </c>
      <c r="E165" s="21" t="s">
        <v>91</v>
      </c>
      <c r="F165" s="22">
        <v>3.79</v>
      </c>
      <c r="G165" s="22">
        <f>F165-'Estatística'!$D$6/'Estatística'!$D$10</f>
        <v>2.786980371</v>
      </c>
      <c r="H165" s="23">
        <v>44960.0</v>
      </c>
      <c r="I165" s="24" t="str">
        <f t="shared" si="1"/>
        <v>fev.</v>
      </c>
      <c r="O165" s="8"/>
    </row>
    <row r="166" ht="15.75" customHeight="1">
      <c r="A166" s="9">
        <v>15.0</v>
      </c>
      <c r="B166" s="9" t="s">
        <v>58</v>
      </c>
      <c r="C166" s="9" t="s">
        <v>59</v>
      </c>
      <c r="D166" s="10" t="s">
        <v>11</v>
      </c>
      <c r="E166" s="11" t="s">
        <v>72</v>
      </c>
      <c r="F166" s="12">
        <v>21.24</v>
      </c>
      <c r="G166" s="12">
        <f>F166-'Estatística'!$D$6/'Estatística'!$D$10</f>
        <v>20.23698037</v>
      </c>
      <c r="H166" s="13">
        <v>44960.0</v>
      </c>
      <c r="I166" s="14" t="str">
        <f t="shared" si="1"/>
        <v>fev.</v>
      </c>
      <c r="O166" s="8"/>
    </row>
    <row r="167" ht="15.75" customHeight="1">
      <c r="A167" s="19">
        <v>65.0</v>
      </c>
      <c r="B167" s="19" t="s">
        <v>209</v>
      </c>
      <c r="C167" s="19" t="s">
        <v>210</v>
      </c>
      <c r="D167" s="20" t="s">
        <v>30</v>
      </c>
      <c r="E167" s="21" t="s">
        <v>56</v>
      </c>
      <c r="F167" s="22">
        <v>77.01</v>
      </c>
      <c r="G167" s="22">
        <f>F167-'Estatística'!$D$6/'Estatística'!$D$10</f>
        <v>76.00698037</v>
      </c>
      <c r="H167" s="23">
        <v>44960.0</v>
      </c>
      <c r="I167" s="24" t="str">
        <f t="shared" si="1"/>
        <v>fev.</v>
      </c>
      <c r="O167" s="8"/>
    </row>
    <row r="168" ht="15.75" customHeight="1">
      <c r="A168" s="9">
        <v>54.0</v>
      </c>
      <c r="B168" s="9" t="s">
        <v>86</v>
      </c>
      <c r="C168" s="9" t="s">
        <v>87</v>
      </c>
      <c r="D168" s="10" t="s">
        <v>30</v>
      </c>
      <c r="E168" s="11" t="s">
        <v>76</v>
      </c>
      <c r="F168" s="12">
        <v>10.74</v>
      </c>
      <c r="G168" s="12">
        <f>F168-'Estatística'!$D$6/'Estatística'!$D$10</f>
        <v>9.736980371</v>
      </c>
      <c r="H168" s="13">
        <v>44960.0</v>
      </c>
      <c r="I168" s="14" t="str">
        <f t="shared" si="1"/>
        <v>fev.</v>
      </c>
      <c r="O168" s="8"/>
    </row>
    <row r="169" ht="15.75" customHeight="1">
      <c r="A169" s="19">
        <v>36.0</v>
      </c>
      <c r="B169" s="19" t="s">
        <v>92</v>
      </c>
      <c r="C169" s="19" t="s">
        <v>93</v>
      </c>
      <c r="D169" s="20" t="s">
        <v>30</v>
      </c>
      <c r="E169" s="21" t="s">
        <v>43</v>
      </c>
      <c r="F169" s="22">
        <v>14.9</v>
      </c>
      <c r="G169" s="22">
        <f>F169-'Estatística'!$D$6/'Estatística'!$D$10</f>
        <v>13.89698037</v>
      </c>
      <c r="H169" s="23">
        <v>44960.0</v>
      </c>
      <c r="I169" s="24" t="str">
        <f t="shared" si="1"/>
        <v>fev.</v>
      </c>
      <c r="O169" s="8"/>
    </row>
    <row r="170" ht="15.75" customHeight="1">
      <c r="A170" s="9">
        <v>60.0</v>
      </c>
      <c r="B170" s="9" t="s">
        <v>65</v>
      </c>
      <c r="C170" s="9" t="s">
        <v>66</v>
      </c>
      <c r="D170" s="10" t="s">
        <v>11</v>
      </c>
      <c r="E170" s="11" t="s">
        <v>50</v>
      </c>
      <c r="F170" s="12">
        <v>21.83</v>
      </c>
      <c r="G170" s="12">
        <f>F170-'Estatística'!$D$6/'Estatística'!$D$10</f>
        <v>20.82698037</v>
      </c>
      <c r="H170" s="13">
        <v>44960.0</v>
      </c>
      <c r="I170" s="14" t="str">
        <f t="shared" si="1"/>
        <v>fev.</v>
      </c>
      <c r="O170" s="8"/>
    </row>
    <row r="171" ht="15.75" customHeight="1">
      <c r="A171" s="19">
        <v>21.0</v>
      </c>
      <c r="B171" s="19" t="s">
        <v>186</v>
      </c>
      <c r="C171" s="19" t="s">
        <v>187</v>
      </c>
      <c r="D171" s="20" t="s">
        <v>30</v>
      </c>
      <c r="E171" s="21" t="s">
        <v>35</v>
      </c>
      <c r="F171" s="22">
        <v>15.11</v>
      </c>
      <c r="G171" s="22">
        <f>F171-'Estatística'!$D$6/'Estatística'!$D$10</f>
        <v>14.10698037</v>
      </c>
      <c r="H171" s="23">
        <v>44960.0</v>
      </c>
      <c r="I171" s="24" t="str">
        <f t="shared" si="1"/>
        <v>fev.</v>
      </c>
      <c r="O171" s="8"/>
    </row>
    <row r="172" ht="15.75" customHeight="1">
      <c r="A172" s="9">
        <v>26.0</v>
      </c>
      <c r="B172" s="9" t="s">
        <v>211</v>
      </c>
      <c r="C172" s="9" t="s">
        <v>212</v>
      </c>
      <c r="D172" s="10" t="s">
        <v>30</v>
      </c>
      <c r="E172" s="11" t="s">
        <v>52</v>
      </c>
      <c r="F172" s="12">
        <v>60.68</v>
      </c>
      <c r="G172" s="12">
        <f>F172-'Estatística'!$D$6/'Estatística'!$D$10</f>
        <v>59.67698037</v>
      </c>
      <c r="H172" s="13">
        <v>44960.0</v>
      </c>
      <c r="I172" s="14" t="str">
        <f t="shared" si="1"/>
        <v>fev.</v>
      </c>
      <c r="O172" s="8"/>
    </row>
    <row r="173" ht="15.75" customHeight="1">
      <c r="A173" s="19">
        <v>33.0</v>
      </c>
      <c r="B173" s="19" t="s">
        <v>191</v>
      </c>
      <c r="C173" s="19" t="s">
        <v>192</v>
      </c>
      <c r="D173" s="20" t="s">
        <v>11</v>
      </c>
      <c r="E173" s="21" t="s">
        <v>50</v>
      </c>
      <c r="F173" s="22">
        <v>30.32</v>
      </c>
      <c r="G173" s="22">
        <f>F173-'Estatística'!$D$6/'Estatística'!$D$10</f>
        <v>29.31698037</v>
      </c>
      <c r="H173" s="23">
        <v>44960.0</v>
      </c>
      <c r="I173" s="24" t="str">
        <f t="shared" si="1"/>
        <v>fev.</v>
      </c>
      <c r="O173" s="8"/>
    </row>
    <row r="174" ht="15.75" customHeight="1">
      <c r="A174" s="9">
        <v>85.0</v>
      </c>
      <c r="B174" s="9" t="s">
        <v>198</v>
      </c>
      <c r="C174" s="9" t="s">
        <v>199</v>
      </c>
      <c r="D174" s="10" t="s">
        <v>11</v>
      </c>
      <c r="E174" s="11" t="s">
        <v>94</v>
      </c>
      <c r="F174" s="12">
        <v>31.68</v>
      </c>
      <c r="G174" s="12">
        <f>F174-'Estatística'!$D$6/'Estatística'!$D$10</f>
        <v>30.67698037</v>
      </c>
      <c r="H174" s="13">
        <v>44961.0</v>
      </c>
      <c r="I174" s="14" t="str">
        <f t="shared" si="1"/>
        <v>fev.</v>
      </c>
      <c r="O174" s="8"/>
    </row>
    <row r="175" ht="15.75" customHeight="1">
      <c r="A175" s="19">
        <v>96.0</v>
      </c>
      <c r="B175" s="19" t="s">
        <v>163</v>
      </c>
      <c r="C175" s="19" t="s">
        <v>164</v>
      </c>
      <c r="D175" s="20" t="s">
        <v>11</v>
      </c>
      <c r="E175" s="21" t="s">
        <v>52</v>
      </c>
      <c r="F175" s="22">
        <v>60.44</v>
      </c>
      <c r="G175" s="22">
        <f>F175-'Estatística'!$D$6/'Estatística'!$D$10</f>
        <v>59.43698037</v>
      </c>
      <c r="H175" s="23">
        <v>44961.0</v>
      </c>
      <c r="I175" s="24" t="str">
        <f t="shared" si="1"/>
        <v>fev.</v>
      </c>
      <c r="O175" s="8"/>
    </row>
    <row r="176" ht="15.75" customHeight="1">
      <c r="A176" s="9">
        <v>76.0</v>
      </c>
      <c r="B176" s="9" t="s">
        <v>213</v>
      </c>
      <c r="C176" s="9" t="s">
        <v>214</v>
      </c>
      <c r="D176" s="10" t="s">
        <v>30</v>
      </c>
      <c r="E176" s="11" t="s">
        <v>91</v>
      </c>
      <c r="F176" s="12">
        <v>4.24</v>
      </c>
      <c r="G176" s="12">
        <f>F176-'Estatística'!$D$6/'Estatística'!$D$10</f>
        <v>3.236980371</v>
      </c>
      <c r="H176" s="13">
        <v>44961.0</v>
      </c>
      <c r="I176" s="14" t="str">
        <f t="shared" si="1"/>
        <v>fev.</v>
      </c>
      <c r="O176" s="8"/>
    </row>
    <row r="177" ht="15.75" customHeight="1">
      <c r="A177" s="19">
        <v>100.0</v>
      </c>
      <c r="B177" s="19" t="s">
        <v>48</v>
      </c>
      <c r="C177" s="19" t="s">
        <v>49</v>
      </c>
      <c r="D177" s="20" t="s">
        <v>30</v>
      </c>
      <c r="E177" s="21" t="s">
        <v>72</v>
      </c>
      <c r="F177" s="22">
        <v>20.5</v>
      </c>
      <c r="G177" s="22">
        <f>F177-'Estatística'!$D$6/'Estatística'!$D$10</f>
        <v>19.49698037</v>
      </c>
      <c r="H177" s="23">
        <v>44961.0</v>
      </c>
      <c r="I177" s="24" t="str">
        <f t="shared" si="1"/>
        <v>fev.</v>
      </c>
      <c r="O177" s="8"/>
    </row>
    <row r="178" ht="15.75" customHeight="1">
      <c r="A178" s="9">
        <v>86.0</v>
      </c>
      <c r="B178" s="9" t="s">
        <v>62</v>
      </c>
      <c r="C178" s="9" t="s">
        <v>63</v>
      </c>
      <c r="D178" s="10" t="s">
        <v>11</v>
      </c>
      <c r="E178" s="11" t="s">
        <v>39</v>
      </c>
      <c r="F178" s="12">
        <v>18.14</v>
      </c>
      <c r="G178" s="12">
        <f>F178-'Estatística'!$D$6/'Estatística'!$D$10</f>
        <v>17.13698037</v>
      </c>
      <c r="H178" s="13">
        <v>44962.0</v>
      </c>
      <c r="I178" s="14" t="str">
        <f t="shared" si="1"/>
        <v>fev.</v>
      </c>
      <c r="O178" s="8"/>
    </row>
    <row r="179" ht="15.75" customHeight="1">
      <c r="A179" s="19">
        <v>3.0</v>
      </c>
      <c r="B179" s="19" t="s">
        <v>80</v>
      </c>
      <c r="C179" s="19" t="s">
        <v>81</v>
      </c>
      <c r="D179" s="20" t="s">
        <v>30</v>
      </c>
      <c r="E179" s="21" t="s">
        <v>88</v>
      </c>
      <c r="F179" s="22">
        <v>38.03</v>
      </c>
      <c r="G179" s="22">
        <f>F179-'Estatística'!$D$6/'Estatística'!$D$10</f>
        <v>37.02698037</v>
      </c>
      <c r="H179" s="23">
        <v>44962.0</v>
      </c>
      <c r="I179" s="24" t="str">
        <f t="shared" si="1"/>
        <v>fev.</v>
      </c>
      <c r="O179" s="8"/>
    </row>
    <row r="180" ht="15.75" customHeight="1">
      <c r="A180" s="9">
        <v>40.0</v>
      </c>
      <c r="B180" s="9" t="s">
        <v>122</v>
      </c>
      <c r="C180" s="9" t="s">
        <v>185</v>
      </c>
      <c r="D180" s="10" t="s">
        <v>30</v>
      </c>
      <c r="E180" s="11" t="s">
        <v>94</v>
      </c>
      <c r="F180" s="12">
        <v>28.13</v>
      </c>
      <c r="G180" s="12">
        <f>F180-'Estatística'!$D$6/'Estatística'!$D$10</f>
        <v>27.12698037</v>
      </c>
      <c r="H180" s="13">
        <v>44962.0</v>
      </c>
      <c r="I180" s="14" t="str">
        <f t="shared" si="1"/>
        <v>fev.</v>
      </c>
      <c r="O180" s="8"/>
    </row>
    <row r="181" ht="15.75" customHeight="1">
      <c r="A181" s="19">
        <v>100.0</v>
      </c>
      <c r="B181" s="19" t="s">
        <v>48</v>
      </c>
      <c r="C181" s="19" t="s">
        <v>49</v>
      </c>
      <c r="D181" s="20" t="s">
        <v>30</v>
      </c>
      <c r="E181" s="21" t="s">
        <v>97</v>
      </c>
      <c r="F181" s="22">
        <v>4.75</v>
      </c>
      <c r="G181" s="22">
        <f>F181-'Estatística'!$D$6/'Estatística'!$D$10</f>
        <v>3.746980371</v>
      </c>
      <c r="H181" s="23">
        <v>44962.0</v>
      </c>
      <c r="I181" s="24" t="str">
        <f t="shared" si="1"/>
        <v>fev.</v>
      </c>
      <c r="O181" s="8"/>
    </row>
    <row r="182" ht="15.75" customHeight="1">
      <c r="A182" s="9">
        <v>66.0</v>
      </c>
      <c r="B182" s="9" t="s">
        <v>150</v>
      </c>
      <c r="C182" s="9" t="s">
        <v>158</v>
      </c>
      <c r="D182" s="10" t="s">
        <v>11</v>
      </c>
      <c r="E182" s="11" t="s">
        <v>91</v>
      </c>
      <c r="F182" s="12">
        <v>1.91</v>
      </c>
      <c r="G182" s="12">
        <f>F182-'Estatística'!$D$6/'Estatística'!$D$10</f>
        <v>0.9069803714</v>
      </c>
      <c r="H182" s="13">
        <v>44962.0</v>
      </c>
      <c r="I182" s="14" t="str">
        <f t="shared" si="1"/>
        <v>fev.</v>
      </c>
      <c r="O182" s="8"/>
    </row>
    <row r="183" ht="15.75" customHeight="1">
      <c r="A183" s="19">
        <v>5.0</v>
      </c>
      <c r="B183" s="19" t="s">
        <v>167</v>
      </c>
      <c r="C183" s="19" t="s">
        <v>168</v>
      </c>
      <c r="D183" s="20" t="s">
        <v>11</v>
      </c>
      <c r="E183" s="21" t="s">
        <v>97</v>
      </c>
      <c r="F183" s="22">
        <v>4.11</v>
      </c>
      <c r="G183" s="22">
        <f>F183-'Estatística'!$D$6/'Estatística'!$D$10</f>
        <v>3.106980371</v>
      </c>
      <c r="H183" s="23">
        <v>44962.0</v>
      </c>
      <c r="I183" s="24" t="str">
        <f t="shared" si="1"/>
        <v>fev.</v>
      </c>
      <c r="O183" s="8"/>
    </row>
    <row r="184" ht="15.75" customHeight="1">
      <c r="A184" s="9">
        <v>79.0</v>
      </c>
      <c r="B184" s="9" t="s">
        <v>101</v>
      </c>
      <c r="C184" s="9" t="s">
        <v>102</v>
      </c>
      <c r="D184" s="10" t="s">
        <v>11</v>
      </c>
      <c r="E184" s="11" t="s">
        <v>52</v>
      </c>
      <c r="F184" s="12">
        <v>56.81</v>
      </c>
      <c r="G184" s="12">
        <f>F184-'Estatística'!$D$6/'Estatística'!$D$10</f>
        <v>55.80698037</v>
      </c>
      <c r="H184" s="13">
        <v>44963.0</v>
      </c>
      <c r="I184" s="14" t="str">
        <f t="shared" si="1"/>
        <v>fev.</v>
      </c>
      <c r="O184" s="8"/>
    </row>
    <row r="185" ht="15.75" customHeight="1">
      <c r="A185" s="19">
        <v>43.0</v>
      </c>
      <c r="B185" s="19" t="s">
        <v>95</v>
      </c>
      <c r="C185" s="19" t="s">
        <v>96</v>
      </c>
      <c r="D185" s="20" t="s">
        <v>11</v>
      </c>
      <c r="E185" s="21" t="s">
        <v>88</v>
      </c>
      <c r="F185" s="22">
        <v>40.52</v>
      </c>
      <c r="G185" s="22">
        <f>F185-'Estatística'!$D$6/'Estatística'!$D$10</f>
        <v>39.51698037</v>
      </c>
      <c r="H185" s="23">
        <v>44963.0</v>
      </c>
      <c r="I185" s="24" t="str">
        <f t="shared" si="1"/>
        <v>fev.</v>
      </c>
      <c r="O185" s="8"/>
    </row>
    <row r="186" ht="15.75" customHeight="1">
      <c r="A186" s="9">
        <v>4.0</v>
      </c>
      <c r="B186" s="9" t="s">
        <v>118</v>
      </c>
      <c r="C186" s="9" t="s">
        <v>119</v>
      </c>
      <c r="D186" s="10" t="s">
        <v>11</v>
      </c>
      <c r="E186" s="11" t="s">
        <v>52</v>
      </c>
      <c r="F186" s="12">
        <v>61.74</v>
      </c>
      <c r="G186" s="12">
        <f>F186-'Estatística'!$D$6/'Estatística'!$D$10</f>
        <v>60.73698037</v>
      </c>
      <c r="H186" s="13">
        <v>44963.0</v>
      </c>
      <c r="I186" s="14" t="str">
        <f t="shared" si="1"/>
        <v>fev.</v>
      </c>
      <c r="O186" s="8"/>
    </row>
    <row r="187" ht="15.75" customHeight="1">
      <c r="A187" s="19">
        <v>32.0</v>
      </c>
      <c r="B187" s="19" t="s">
        <v>146</v>
      </c>
      <c r="C187" s="19" t="s">
        <v>147</v>
      </c>
      <c r="D187" s="20" t="s">
        <v>30</v>
      </c>
      <c r="E187" s="21" t="s">
        <v>43</v>
      </c>
      <c r="F187" s="22">
        <v>17.65</v>
      </c>
      <c r="G187" s="22">
        <f>F187-'Estatística'!$D$6/'Estatística'!$D$10</f>
        <v>16.64698037</v>
      </c>
      <c r="H187" s="23">
        <v>44963.0</v>
      </c>
      <c r="I187" s="24" t="str">
        <f t="shared" si="1"/>
        <v>fev.</v>
      </c>
      <c r="O187" s="8"/>
    </row>
    <row r="188" ht="15.75" customHeight="1">
      <c r="A188" s="9">
        <v>88.0</v>
      </c>
      <c r="B188" s="9" t="s">
        <v>200</v>
      </c>
      <c r="C188" s="9" t="s">
        <v>206</v>
      </c>
      <c r="D188" s="10" t="s">
        <v>30</v>
      </c>
      <c r="E188" s="11" t="s">
        <v>46</v>
      </c>
      <c r="F188" s="12">
        <v>13.56</v>
      </c>
      <c r="G188" s="12">
        <f>F188-'Estatística'!$D$6/'Estatística'!$D$10</f>
        <v>12.55698037</v>
      </c>
      <c r="H188" s="13">
        <v>44963.0</v>
      </c>
      <c r="I188" s="14" t="str">
        <f t="shared" si="1"/>
        <v>fev.</v>
      </c>
      <c r="O188" s="8"/>
    </row>
    <row r="189" ht="15.75" customHeight="1">
      <c r="A189" s="19">
        <v>83.0</v>
      </c>
      <c r="B189" s="19" t="s">
        <v>98</v>
      </c>
      <c r="C189" s="19" t="s">
        <v>99</v>
      </c>
      <c r="D189" s="20" t="s">
        <v>11</v>
      </c>
      <c r="E189" s="21" t="s">
        <v>60</v>
      </c>
      <c r="F189" s="22">
        <v>45.32</v>
      </c>
      <c r="G189" s="22">
        <f>F189-'Estatística'!$D$6/'Estatística'!$D$10</f>
        <v>44.31698037</v>
      </c>
      <c r="H189" s="23">
        <v>44963.0</v>
      </c>
      <c r="I189" s="24" t="str">
        <f t="shared" si="1"/>
        <v>fev.</v>
      </c>
      <c r="O189" s="8"/>
    </row>
    <row r="190" ht="15.75" customHeight="1">
      <c r="A190" s="9">
        <v>39.0</v>
      </c>
      <c r="B190" s="9" t="s">
        <v>89</v>
      </c>
      <c r="C190" s="9" t="s">
        <v>90</v>
      </c>
      <c r="D190" s="10" t="s">
        <v>11</v>
      </c>
      <c r="E190" s="11" t="s">
        <v>97</v>
      </c>
      <c r="F190" s="12">
        <v>5.35</v>
      </c>
      <c r="G190" s="12">
        <f>F190-'Estatística'!$D$6/'Estatística'!$D$10</f>
        <v>4.346980371</v>
      </c>
      <c r="H190" s="13">
        <v>44963.0</v>
      </c>
      <c r="I190" s="14" t="str">
        <f t="shared" si="1"/>
        <v>fev.</v>
      </c>
      <c r="O190" s="8"/>
    </row>
    <row r="191" ht="15.75" customHeight="1">
      <c r="A191" s="19">
        <v>44.0</v>
      </c>
      <c r="B191" s="19" t="s">
        <v>215</v>
      </c>
      <c r="C191" s="19" t="s">
        <v>216</v>
      </c>
      <c r="D191" s="20" t="s">
        <v>11</v>
      </c>
      <c r="E191" s="21" t="s">
        <v>39</v>
      </c>
      <c r="F191" s="22">
        <v>20.72</v>
      </c>
      <c r="G191" s="22">
        <f>F191-'Estatística'!$D$6/'Estatística'!$D$10</f>
        <v>19.71698037</v>
      </c>
      <c r="H191" s="23">
        <v>44963.0</v>
      </c>
      <c r="I191" s="24" t="str">
        <f t="shared" si="1"/>
        <v>fev.</v>
      </c>
      <c r="O191" s="8"/>
    </row>
    <row r="192" ht="15.75" customHeight="1">
      <c r="A192" s="9">
        <v>34.0</v>
      </c>
      <c r="B192" s="9" t="s">
        <v>177</v>
      </c>
      <c r="C192" s="9" t="s">
        <v>178</v>
      </c>
      <c r="D192" s="10" t="s">
        <v>30</v>
      </c>
      <c r="E192" s="11" t="s">
        <v>12</v>
      </c>
      <c r="F192" s="12">
        <v>10.25</v>
      </c>
      <c r="G192" s="12">
        <f>F192-'Estatística'!$D$6/'Estatística'!$D$10</f>
        <v>9.246980371</v>
      </c>
      <c r="H192" s="13">
        <v>44964.0</v>
      </c>
      <c r="I192" s="14" t="str">
        <f t="shared" si="1"/>
        <v>fev.</v>
      </c>
      <c r="O192" s="8"/>
    </row>
    <row r="193" ht="15.75" customHeight="1">
      <c r="A193" s="19">
        <v>25.0</v>
      </c>
      <c r="B193" s="19" t="s">
        <v>154</v>
      </c>
      <c r="C193" s="19" t="s">
        <v>155</v>
      </c>
      <c r="D193" s="20" t="s">
        <v>11</v>
      </c>
      <c r="E193" s="21" t="s">
        <v>85</v>
      </c>
      <c r="F193" s="22">
        <v>16.2</v>
      </c>
      <c r="G193" s="22">
        <f>F193-'Estatística'!$D$6/'Estatística'!$D$10</f>
        <v>15.19698037</v>
      </c>
      <c r="H193" s="23">
        <v>44964.0</v>
      </c>
      <c r="I193" s="24" t="str">
        <f t="shared" si="1"/>
        <v>fev.</v>
      </c>
      <c r="O193" s="8"/>
    </row>
    <row r="194" ht="15.75" customHeight="1">
      <c r="A194" s="9">
        <v>80.0</v>
      </c>
      <c r="B194" s="9" t="s">
        <v>37</v>
      </c>
      <c r="C194" s="9" t="s">
        <v>38</v>
      </c>
      <c r="D194" s="10" t="s">
        <v>30</v>
      </c>
      <c r="E194" s="11" t="s">
        <v>82</v>
      </c>
      <c r="F194" s="12">
        <v>11.89</v>
      </c>
      <c r="G194" s="12">
        <f>F194-'Estatística'!$D$6/'Estatística'!$D$10</f>
        <v>10.88698037</v>
      </c>
      <c r="H194" s="13">
        <v>44964.0</v>
      </c>
      <c r="I194" s="14" t="str">
        <f t="shared" si="1"/>
        <v>fev.</v>
      </c>
      <c r="O194" s="8"/>
    </row>
    <row r="195" ht="15.75" customHeight="1">
      <c r="A195" s="19">
        <v>56.0</v>
      </c>
      <c r="B195" s="19" t="s">
        <v>127</v>
      </c>
      <c r="C195" s="19" t="s">
        <v>128</v>
      </c>
      <c r="D195" s="20" t="s">
        <v>30</v>
      </c>
      <c r="E195" s="21" t="s">
        <v>72</v>
      </c>
      <c r="F195" s="22">
        <v>19.7</v>
      </c>
      <c r="G195" s="22">
        <f>F195-'Estatística'!$D$6/'Estatística'!$D$10</f>
        <v>18.69698037</v>
      </c>
      <c r="H195" s="23">
        <v>44964.0</v>
      </c>
      <c r="I195" s="24" t="str">
        <f t="shared" si="1"/>
        <v>fev.</v>
      </c>
      <c r="O195" s="8"/>
    </row>
    <row r="196" ht="15.75" customHeight="1">
      <c r="A196" s="9">
        <v>54.0</v>
      </c>
      <c r="B196" s="9" t="s">
        <v>86</v>
      </c>
      <c r="C196" s="9" t="s">
        <v>87</v>
      </c>
      <c r="D196" s="10" t="s">
        <v>11</v>
      </c>
      <c r="E196" s="11" t="s">
        <v>60</v>
      </c>
      <c r="F196" s="12">
        <v>56.57</v>
      </c>
      <c r="G196" s="12">
        <f>F196-'Estatística'!$D$6/'Estatística'!$D$10</f>
        <v>55.56698037</v>
      </c>
      <c r="H196" s="13">
        <v>44965.0</v>
      </c>
      <c r="I196" s="14" t="str">
        <f t="shared" si="1"/>
        <v>fev.</v>
      </c>
      <c r="O196" s="8"/>
    </row>
    <row r="197" ht="15.75" customHeight="1">
      <c r="A197" s="19">
        <v>68.0</v>
      </c>
      <c r="B197" s="19" t="s">
        <v>41</v>
      </c>
      <c r="C197" s="19" t="s">
        <v>42</v>
      </c>
      <c r="D197" s="20" t="s">
        <v>30</v>
      </c>
      <c r="E197" s="21" t="s">
        <v>97</v>
      </c>
      <c r="F197" s="22">
        <v>3.67</v>
      </c>
      <c r="G197" s="22">
        <f>F197-'Estatística'!$D$6/'Estatística'!$D$10</f>
        <v>2.666980371</v>
      </c>
      <c r="H197" s="23">
        <v>44965.0</v>
      </c>
      <c r="I197" s="24" t="str">
        <f t="shared" si="1"/>
        <v>fev.</v>
      </c>
      <c r="O197" s="8"/>
    </row>
    <row r="198" ht="15.75" customHeight="1">
      <c r="A198" s="9">
        <v>76.0</v>
      </c>
      <c r="B198" s="9" t="s">
        <v>213</v>
      </c>
      <c r="C198" s="9" t="s">
        <v>214</v>
      </c>
      <c r="D198" s="10" t="s">
        <v>30</v>
      </c>
      <c r="E198" s="11" t="s">
        <v>79</v>
      </c>
      <c r="F198" s="12">
        <v>36.28</v>
      </c>
      <c r="G198" s="12">
        <f>F198-'Estatística'!$D$6/'Estatística'!$D$10</f>
        <v>35.27698037</v>
      </c>
      <c r="H198" s="13">
        <v>44965.0</v>
      </c>
      <c r="I198" s="14" t="str">
        <f t="shared" si="1"/>
        <v>fev.</v>
      </c>
      <c r="O198" s="8"/>
    </row>
    <row r="199" ht="15.75" customHeight="1">
      <c r="A199" s="19">
        <v>15.0</v>
      </c>
      <c r="B199" s="19" t="s">
        <v>58</v>
      </c>
      <c r="C199" s="19" t="s">
        <v>59</v>
      </c>
      <c r="D199" s="20" t="s">
        <v>30</v>
      </c>
      <c r="E199" s="21" t="s">
        <v>43</v>
      </c>
      <c r="F199" s="22">
        <v>16.54</v>
      </c>
      <c r="G199" s="22">
        <f>F199-'Estatística'!$D$6/'Estatística'!$D$10</f>
        <v>15.53698037</v>
      </c>
      <c r="H199" s="23">
        <v>44966.0</v>
      </c>
      <c r="I199" s="24" t="str">
        <f t="shared" si="1"/>
        <v>fev.</v>
      </c>
      <c r="O199" s="8"/>
    </row>
    <row r="200" ht="15.75" customHeight="1">
      <c r="A200" s="9">
        <v>48.0</v>
      </c>
      <c r="B200" s="9" t="s">
        <v>41</v>
      </c>
      <c r="C200" s="9" t="s">
        <v>45</v>
      </c>
      <c r="D200" s="10" t="s">
        <v>11</v>
      </c>
      <c r="E200" s="11" t="s">
        <v>52</v>
      </c>
      <c r="F200" s="12">
        <v>57.91</v>
      </c>
      <c r="G200" s="12">
        <f>F200-'Estatística'!$D$6/'Estatística'!$D$10</f>
        <v>56.90698037</v>
      </c>
      <c r="H200" s="13">
        <v>44966.0</v>
      </c>
      <c r="I200" s="14" t="str">
        <f t="shared" si="1"/>
        <v>fev.</v>
      </c>
      <c r="O200" s="8"/>
    </row>
    <row r="201" ht="15.75" customHeight="1">
      <c r="A201" s="19">
        <v>70.0</v>
      </c>
      <c r="B201" s="19" t="s">
        <v>152</v>
      </c>
      <c r="C201" s="19" t="s">
        <v>153</v>
      </c>
      <c r="D201" s="20" t="s">
        <v>11</v>
      </c>
      <c r="E201" s="21" t="s">
        <v>91</v>
      </c>
      <c r="F201" s="22">
        <v>3.49</v>
      </c>
      <c r="G201" s="22">
        <f>F201-'Estatística'!$D$6/'Estatística'!$D$10</f>
        <v>2.486980371</v>
      </c>
      <c r="H201" s="23">
        <v>44966.0</v>
      </c>
      <c r="I201" s="24" t="str">
        <f t="shared" si="1"/>
        <v>fev.</v>
      </c>
      <c r="O201" s="8"/>
    </row>
    <row r="202" ht="15.75" customHeight="1">
      <c r="A202" s="9">
        <v>41.0</v>
      </c>
      <c r="B202" s="9" t="s">
        <v>217</v>
      </c>
      <c r="C202" s="9" t="s">
        <v>218</v>
      </c>
      <c r="D202" s="10" t="s">
        <v>11</v>
      </c>
      <c r="E202" s="11" t="s">
        <v>97</v>
      </c>
      <c r="F202" s="12">
        <v>4.02</v>
      </c>
      <c r="G202" s="12">
        <f>F202-'Estatística'!$D$6/'Estatística'!$D$10</f>
        <v>3.016980371</v>
      </c>
      <c r="H202" s="13">
        <v>44966.0</v>
      </c>
      <c r="I202" s="14" t="str">
        <f t="shared" si="1"/>
        <v>fev.</v>
      </c>
      <c r="O202" s="8"/>
    </row>
    <row r="203" ht="15.75" customHeight="1">
      <c r="A203" s="19">
        <v>74.0</v>
      </c>
      <c r="B203" s="19" t="s">
        <v>9</v>
      </c>
      <c r="C203" s="19" t="s">
        <v>124</v>
      </c>
      <c r="D203" s="20" t="s">
        <v>30</v>
      </c>
      <c r="E203" s="21" t="s">
        <v>35</v>
      </c>
      <c r="F203" s="22">
        <v>18.8</v>
      </c>
      <c r="G203" s="22">
        <f>F203-'Estatística'!$D$6/'Estatística'!$D$10</f>
        <v>17.79698037</v>
      </c>
      <c r="H203" s="23">
        <v>44967.0</v>
      </c>
      <c r="I203" s="24" t="str">
        <f t="shared" si="1"/>
        <v>fev.</v>
      </c>
      <c r="O203" s="8"/>
    </row>
    <row r="204" ht="15.75" customHeight="1">
      <c r="A204" s="9">
        <v>46.0</v>
      </c>
      <c r="B204" s="9" t="s">
        <v>143</v>
      </c>
      <c r="C204" s="9" t="s">
        <v>144</v>
      </c>
      <c r="D204" s="10" t="s">
        <v>30</v>
      </c>
      <c r="E204" s="11" t="s">
        <v>50</v>
      </c>
      <c r="F204" s="12">
        <v>26.05</v>
      </c>
      <c r="G204" s="12">
        <f>F204-'Estatística'!$D$6/'Estatística'!$D$10</f>
        <v>25.04698037</v>
      </c>
      <c r="H204" s="13">
        <v>44967.0</v>
      </c>
      <c r="I204" s="14" t="str">
        <f t="shared" si="1"/>
        <v>fev.</v>
      </c>
      <c r="O204" s="8"/>
    </row>
    <row r="205" ht="15.75" customHeight="1">
      <c r="A205" s="19">
        <v>67.0</v>
      </c>
      <c r="B205" s="19" t="s">
        <v>204</v>
      </c>
      <c r="C205" s="19" t="s">
        <v>205</v>
      </c>
      <c r="D205" s="20" t="s">
        <v>30</v>
      </c>
      <c r="E205" s="21" t="s">
        <v>31</v>
      </c>
      <c r="F205" s="22">
        <v>45.26</v>
      </c>
      <c r="G205" s="22">
        <f>F205-'Estatística'!$D$6/'Estatística'!$D$10</f>
        <v>44.25698037</v>
      </c>
      <c r="H205" s="23">
        <v>44967.0</v>
      </c>
      <c r="I205" s="24" t="str">
        <f t="shared" si="1"/>
        <v>fev.</v>
      </c>
      <c r="O205" s="8"/>
    </row>
    <row r="206" ht="15.75" customHeight="1">
      <c r="A206" s="9">
        <v>40.0</v>
      </c>
      <c r="B206" s="9" t="s">
        <v>122</v>
      </c>
      <c r="C206" s="9" t="s">
        <v>185</v>
      </c>
      <c r="D206" s="10" t="s">
        <v>30</v>
      </c>
      <c r="E206" s="11" t="s">
        <v>39</v>
      </c>
      <c r="F206" s="12">
        <v>41.5</v>
      </c>
      <c r="G206" s="12">
        <f>F206-'Estatística'!$D$6/'Estatística'!$D$10</f>
        <v>40.49698037</v>
      </c>
      <c r="H206" s="13">
        <v>44967.0</v>
      </c>
      <c r="I206" s="14" t="str">
        <f t="shared" si="1"/>
        <v>fev.</v>
      </c>
      <c r="O206" s="8"/>
    </row>
    <row r="207" ht="15.75" customHeight="1">
      <c r="A207" s="19">
        <v>6.0</v>
      </c>
      <c r="B207" s="19" t="s">
        <v>183</v>
      </c>
      <c r="C207" s="19" t="s">
        <v>184</v>
      </c>
      <c r="D207" s="20" t="s">
        <v>30</v>
      </c>
      <c r="E207" s="21" t="s">
        <v>72</v>
      </c>
      <c r="F207" s="22">
        <v>18.82</v>
      </c>
      <c r="G207" s="22">
        <f>F207-'Estatística'!$D$6/'Estatística'!$D$10</f>
        <v>17.81698037</v>
      </c>
      <c r="H207" s="23">
        <v>44967.0</v>
      </c>
      <c r="I207" s="24" t="str">
        <f t="shared" si="1"/>
        <v>fev.</v>
      </c>
      <c r="O207" s="8"/>
    </row>
    <row r="208" ht="15.75" customHeight="1">
      <c r="A208" s="9">
        <v>46.0</v>
      </c>
      <c r="B208" s="9" t="s">
        <v>143</v>
      </c>
      <c r="C208" s="9" t="s">
        <v>144</v>
      </c>
      <c r="D208" s="10" t="s">
        <v>11</v>
      </c>
      <c r="E208" s="11" t="s">
        <v>76</v>
      </c>
      <c r="F208" s="12">
        <v>11.69</v>
      </c>
      <c r="G208" s="12">
        <f>F208-'Estatística'!$D$6/'Estatística'!$D$10</f>
        <v>10.68698037</v>
      </c>
      <c r="H208" s="13">
        <v>44967.0</v>
      </c>
      <c r="I208" s="14" t="str">
        <f t="shared" si="1"/>
        <v>fev.</v>
      </c>
      <c r="O208" s="8"/>
    </row>
    <row r="209" ht="15.75" customHeight="1">
      <c r="A209" s="19">
        <v>47.0</v>
      </c>
      <c r="B209" s="19" t="s">
        <v>120</v>
      </c>
      <c r="C209" s="19" t="s">
        <v>121</v>
      </c>
      <c r="D209" s="20" t="s">
        <v>11</v>
      </c>
      <c r="E209" s="21" t="s">
        <v>12</v>
      </c>
      <c r="F209" s="22">
        <v>10.5</v>
      </c>
      <c r="G209" s="22">
        <f>F209-'Estatística'!$D$6/'Estatística'!$D$10</f>
        <v>9.496980371</v>
      </c>
      <c r="H209" s="23">
        <v>44967.0</v>
      </c>
      <c r="I209" s="24" t="str">
        <f t="shared" si="1"/>
        <v>fev.</v>
      </c>
      <c r="O209" s="8"/>
    </row>
    <row r="210" ht="15.75" customHeight="1">
      <c r="A210" s="9">
        <v>30.0</v>
      </c>
      <c r="B210" s="9" t="s">
        <v>9</v>
      </c>
      <c r="C210" s="9" t="s">
        <v>10</v>
      </c>
      <c r="D210" s="10" t="s">
        <v>11</v>
      </c>
      <c r="E210" s="11" t="s">
        <v>35</v>
      </c>
      <c r="F210" s="12">
        <v>11.66</v>
      </c>
      <c r="G210" s="12">
        <f>F210-'Estatística'!$D$6/'Estatística'!$D$10</f>
        <v>10.65698037</v>
      </c>
      <c r="H210" s="13">
        <v>44967.0</v>
      </c>
      <c r="I210" s="14" t="str">
        <f t="shared" si="1"/>
        <v>fev.</v>
      </c>
      <c r="O210" s="8"/>
    </row>
    <row r="211" ht="15.75" customHeight="1">
      <c r="A211" s="19">
        <v>90.0</v>
      </c>
      <c r="B211" s="19" t="s">
        <v>219</v>
      </c>
      <c r="C211" s="19" t="s">
        <v>220</v>
      </c>
      <c r="D211" s="20" t="s">
        <v>30</v>
      </c>
      <c r="E211" s="21" t="s">
        <v>52</v>
      </c>
      <c r="F211" s="22">
        <v>57.47</v>
      </c>
      <c r="G211" s="22">
        <f>F211-'Estatística'!$D$6/'Estatística'!$D$10</f>
        <v>56.46698037</v>
      </c>
      <c r="H211" s="23">
        <v>44967.0</v>
      </c>
      <c r="I211" s="24" t="str">
        <f t="shared" si="1"/>
        <v>fev.</v>
      </c>
      <c r="O211" s="8"/>
    </row>
    <row r="212" ht="15.75" customHeight="1">
      <c r="A212" s="9">
        <v>45.0</v>
      </c>
      <c r="B212" s="9" t="s">
        <v>221</v>
      </c>
      <c r="C212" s="9" t="s">
        <v>222</v>
      </c>
      <c r="D212" s="10" t="s">
        <v>30</v>
      </c>
      <c r="E212" s="11" t="s">
        <v>68</v>
      </c>
      <c r="F212" s="12">
        <v>14.14</v>
      </c>
      <c r="G212" s="12">
        <f>F212-'Estatística'!$D$6/'Estatística'!$D$10</f>
        <v>13.13698037</v>
      </c>
      <c r="H212" s="13">
        <v>44968.0</v>
      </c>
      <c r="I212" s="14" t="str">
        <f t="shared" si="1"/>
        <v>fev.</v>
      </c>
      <c r="O212" s="8"/>
    </row>
    <row r="213" ht="15.75" customHeight="1">
      <c r="A213" s="19">
        <v>100.0</v>
      </c>
      <c r="B213" s="19" t="s">
        <v>48</v>
      </c>
      <c r="C213" s="19" t="s">
        <v>49</v>
      </c>
      <c r="D213" s="20" t="s">
        <v>11</v>
      </c>
      <c r="E213" s="21" t="s">
        <v>88</v>
      </c>
      <c r="F213" s="22">
        <v>39.88</v>
      </c>
      <c r="G213" s="22">
        <f>F213-'Estatística'!$D$6/'Estatística'!$D$10</f>
        <v>38.87698037</v>
      </c>
      <c r="H213" s="23">
        <v>44968.0</v>
      </c>
      <c r="I213" s="24" t="str">
        <f t="shared" si="1"/>
        <v>fev.</v>
      </c>
      <c r="O213" s="8"/>
    </row>
    <row r="214" ht="15.75" customHeight="1">
      <c r="A214" s="9">
        <v>6.0</v>
      </c>
      <c r="B214" s="9" t="s">
        <v>183</v>
      </c>
      <c r="C214" s="9" t="s">
        <v>184</v>
      </c>
      <c r="D214" s="10" t="s">
        <v>30</v>
      </c>
      <c r="E214" s="11" t="s">
        <v>43</v>
      </c>
      <c r="F214" s="12">
        <v>20.32</v>
      </c>
      <c r="G214" s="12">
        <f>F214-'Estatística'!$D$6/'Estatística'!$D$10</f>
        <v>19.31698037</v>
      </c>
      <c r="H214" s="13">
        <v>44968.0</v>
      </c>
      <c r="I214" s="14" t="str">
        <f t="shared" si="1"/>
        <v>fev.</v>
      </c>
      <c r="O214" s="8"/>
    </row>
    <row r="215" ht="15.75" customHeight="1">
      <c r="A215" s="19">
        <v>91.0</v>
      </c>
      <c r="B215" s="19" t="s">
        <v>112</v>
      </c>
      <c r="C215" s="19" t="s">
        <v>113</v>
      </c>
      <c r="D215" s="20" t="s">
        <v>11</v>
      </c>
      <c r="E215" s="21" t="s">
        <v>91</v>
      </c>
      <c r="F215" s="22">
        <v>1.96</v>
      </c>
      <c r="G215" s="22">
        <f>F215-'Estatística'!$D$6/'Estatística'!$D$10</f>
        <v>0.9569803714</v>
      </c>
      <c r="H215" s="23">
        <v>44968.0</v>
      </c>
      <c r="I215" s="24" t="str">
        <f t="shared" si="1"/>
        <v>fev.</v>
      </c>
      <c r="O215" s="8"/>
    </row>
    <row r="216" ht="15.75" customHeight="1">
      <c r="A216" s="9">
        <v>32.0</v>
      </c>
      <c r="B216" s="9" t="s">
        <v>146</v>
      </c>
      <c r="C216" s="9" t="s">
        <v>147</v>
      </c>
      <c r="D216" s="10" t="s">
        <v>11</v>
      </c>
      <c r="E216" s="11" t="s">
        <v>72</v>
      </c>
      <c r="F216" s="12">
        <v>16.05</v>
      </c>
      <c r="G216" s="12">
        <f>F216-'Estatística'!$D$6/'Estatística'!$D$10</f>
        <v>15.04698037</v>
      </c>
      <c r="H216" s="13">
        <v>44968.0</v>
      </c>
      <c r="I216" s="14" t="str">
        <f t="shared" si="1"/>
        <v>fev.</v>
      </c>
      <c r="O216" s="8"/>
    </row>
    <row r="217" ht="15.75" customHeight="1">
      <c r="A217" s="19">
        <v>77.0</v>
      </c>
      <c r="B217" s="19" t="s">
        <v>9</v>
      </c>
      <c r="C217" s="19" t="s">
        <v>169</v>
      </c>
      <c r="D217" s="20" t="s">
        <v>11</v>
      </c>
      <c r="E217" s="21" t="s">
        <v>85</v>
      </c>
      <c r="F217" s="22">
        <v>13.02</v>
      </c>
      <c r="G217" s="22">
        <f>F217-'Estatística'!$D$6/'Estatística'!$D$10</f>
        <v>12.01698037</v>
      </c>
      <c r="H217" s="23">
        <v>44968.0</v>
      </c>
      <c r="I217" s="24" t="str">
        <f t="shared" si="1"/>
        <v>fev.</v>
      </c>
      <c r="O217" s="8"/>
    </row>
    <row r="218" ht="15.75" customHeight="1">
      <c r="A218" s="9">
        <v>35.0</v>
      </c>
      <c r="B218" s="9" t="s">
        <v>125</v>
      </c>
      <c r="C218" s="9" t="s">
        <v>126</v>
      </c>
      <c r="D218" s="10" t="s">
        <v>30</v>
      </c>
      <c r="E218" s="11" t="s">
        <v>76</v>
      </c>
      <c r="F218" s="12">
        <v>12.09</v>
      </c>
      <c r="G218" s="12">
        <f>F218-'Estatística'!$D$6/'Estatística'!$D$10</f>
        <v>11.08698037</v>
      </c>
      <c r="H218" s="13">
        <v>44968.0</v>
      </c>
      <c r="I218" s="14" t="str">
        <f t="shared" si="1"/>
        <v>fev.</v>
      </c>
      <c r="O218" s="8"/>
    </row>
    <row r="219" ht="15.75" customHeight="1">
      <c r="A219" s="19">
        <v>91.0</v>
      </c>
      <c r="B219" s="19" t="s">
        <v>112</v>
      </c>
      <c r="C219" s="19" t="s">
        <v>113</v>
      </c>
      <c r="D219" s="20" t="s">
        <v>30</v>
      </c>
      <c r="E219" s="21" t="s">
        <v>91</v>
      </c>
      <c r="F219" s="22">
        <v>3.49</v>
      </c>
      <c r="G219" s="22">
        <f>F219-'Estatística'!$D$6/'Estatística'!$D$10</f>
        <v>2.486980371</v>
      </c>
      <c r="H219" s="23">
        <v>44968.0</v>
      </c>
      <c r="I219" s="24" t="str">
        <f t="shared" si="1"/>
        <v>fev.</v>
      </c>
      <c r="O219" s="8"/>
    </row>
    <row r="220" ht="15.75" customHeight="1">
      <c r="A220" s="9">
        <v>95.0</v>
      </c>
      <c r="B220" s="9" t="s">
        <v>110</v>
      </c>
      <c r="C220" s="9" t="s">
        <v>111</v>
      </c>
      <c r="D220" s="10" t="s">
        <v>30</v>
      </c>
      <c r="E220" s="11" t="s">
        <v>68</v>
      </c>
      <c r="F220" s="12">
        <v>9.68</v>
      </c>
      <c r="G220" s="12">
        <f>F220-'Estatística'!$D$6/'Estatística'!$D$10</f>
        <v>8.676980371</v>
      </c>
      <c r="H220" s="13">
        <v>44968.0</v>
      </c>
      <c r="I220" s="14" t="str">
        <f t="shared" si="1"/>
        <v>fev.</v>
      </c>
      <c r="O220" s="8"/>
    </row>
    <row r="221" ht="15.75" customHeight="1">
      <c r="A221" s="19">
        <v>84.0</v>
      </c>
      <c r="B221" s="19" t="s">
        <v>141</v>
      </c>
      <c r="C221" s="19" t="s">
        <v>142</v>
      </c>
      <c r="D221" s="20" t="s">
        <v>11</v>
      </c>
      <c r="E221" s="21" t="s">
        <v>94</v>
      </c>
      <c r="F221" s="22">
        <v>25.63</v>
      </c>
      <c r="G221" s="22">
        <f>F221-'Estatística'!$D$6/'Estatística'!$D$10</f>
        <v>24.62698037</v>
      </c>
      <c r="H221" s="23">
        <v>44968.0</v>
      </c>
      <c r="I221" s="24" t="str">
        <f t="shared" si="1"/>
        <v>fev.</v>
      </c>
      <c r="O221" s="8"/>
    </row>
    <row r="222" ht="15.75" customHeight="1">
      <c r="A222" s="9">
        <v>59.0</v>
      </c>
      <c r="B222" s="9" t="s">
        <v>103</v>
      </c>
      <c r="C222" s="9" t="s">
        <v>104</v>
      </c>
      <c r="D222" s="10" t="s">
        <v>11</v>
      </c>
      <c r="E222" s="11" t="s">
        <v>72</v>
      </c>
      <c r="F222" s="12">
        <v>25.27</v>
      </c>
      <c r="G222" s="12">
        <f>F222-'Estatística'!$D$6/'Estatística'!$D$10</f>
        <v>24.26698037</v>
      </c>
      <c r="H222" s="13">
        <v>44968.0</v>
      </c>
      <c r="I222" s="14" t="str">
        <f t="shared" si="1"/>
        <v>fev.</v>
      </c>
      <c r="O222" s="8"/>
    </row>
    <row r="223" ht="15.75" customHeight="1">
      <c r="A223" s="19">
        <v>33.0</v>
      </c>
      <c r="B223" s="19" t="s">
        <v>191</v>
      </c>
      <c r="C223" s="19" t="s">
        <v>192</v>
      </c>
      <c r="D223" s="20" t="s">
        <v>11</v>
      </c>
      <c r="E223" s="21" t="s">
        <v>39</v>
      </c>
      <c r="F223" s="22">
        <v>25.53</v>
      </c>
      <c r="G223" s="22">
        <f>F223-'Estatística'!$D$6/'Estatística'!$D$10</f>
        <v>24.52698037</v>
      </c>
      <c r="H223" s="23">
        <v>44968.0</v>
      </c>
      <c r="I223" s="24" t="str">
        <f t="shared" si="1"/>
        <v>fev.</v>
      </c>
      <c r="O223" s="8"/>
    </row>
    <row r="224" ht="15.75" customHeight="1">
      <c r="A224" s="9">
        <v>9.0</v>
      </c>
      <c r="B224" s="9" t="s">
        <v>207</v>
      </c>
      <c r="C224" s="9" t="s">
        <v>208</v>
      </c>
      <c r="D224" s="10" t="s">
        <v>11</v>
      </c>
      <c r="E224" s="11" t="s">
        <v>46</v>
      </c>
      <c r="F224" s="12">
        <v>13.72</v>
      </c>
      <c r="G224" s="12">
        <f>F224-'Estatística'!$D$6/'Estatística'!$D$10</f>
        <v>12.71698037</v>
      </c>
      <c r="H224" s="13">
        <v>44969.0</v>
      </c>
      <c r="I224" s="14" t="str">
        <f t="shared" si="1"/>
        <v>fev.</v>
      </c>
      <c r="O224" s="8"/>
    </row>
    <row r="225" ht="15.75" customHeight="1">
      <c r="A225" s="19">
        <v>27.0</v>
      </c>
      <c r="B225" s="19" t="s">
        <v>173</v>
      </c>
      <c r="C225" s="19" t="s">
        <v>174</v>
      </c>
      <c r="D225" s="20" t="s">
        <v>30</v>
      </c>
      <c r="E225" s="21" t="s">
        <v>88</v>
      </c>
      <c r="F225" s="22">
        <v>36.28</v>
      </c>
      <c r="G225" s="22">
        <f>F225-'Estatística'!$D$6/'Estatística'!$D$10</f>
        <v>35.27698037</v>
      </c>
      <c r="H225" s="23">
        <v>44969.0</v>
      </c>
      <c r="I225" s="24" t="str">
        <f t="shared" si="1"/>
        <v>fev.</v>
      </c>
      <c r="O225" s="8"/>
    </row>
    <row r="226" ht="15.75" customHeight="1">
      <c r="A226" s="9">
        <v>38.0</v>
      </c>
      <c r="B226" s="9" t="s">
        <v>116</v>
      </c>
      <c r="C226" s="9" t="s">
        <v>117</v>
      </c>
      <c r="D226" s="10" t="s">
        <v>11</v>
      </c>
      <c r="E226" s="11" t="s">
        <v>43</v>
      </c>
      <c r="F226" s="12">
        <v>14.78</v>
      </c>
      <c r="G226" s="12">
        <f>F226-'Estatística'!$D$6/'Estatística'!$D$10</f>
        <v>13.77698037</v>
      </c>
      <c r="H226" s="13">
        <v>44969.0</v>
      </c>
      <c r="I226" s="14" t="str">
        <f t="shared" si="1"/>
        <v>fev.</v>
      </c>
      <c r="O226" s="8"/>
    </row>
    <row r="227" ht="15.75" customHeight="1">
      <c r="A227" s="19">
        <v>73.0</v>
      </c>
      <c r="B227" s="19" t="s">
        <v>223</v>
      </c>
      <c r="C227" s="19" t="s">
        <v>224</v>
      </c>
      <c r="D227" s="20" t="s">
        <v>30</v>
      </c>
      <c r="E227" s="21" t="s">
        <v>46</v>
      </c>
      <c r="F227" s="22">
        <v>13.74</v>
      </c>
      <c r="G227" s="22">
        <f>F227-'Estatística'!$D$6/'Estatística'!$D$10</f>
        <v>12.73698037</v>
      </c>
      <c r="H227" s="23">
        <v>44969.0</v>
      </c>
      <c r="I227" s="24" t="str">
        <f t="shared" si="1"/>
        <v>fev.</v>
      </c>
      <c r="O227" s="8"/>
    </row>
    <row r="228" ht="15.75" customHeight="1">
      <c r="A228" s="9">
        <v>20.0</v>
      </c>
      <c r="B228" s="9" t="s">
        <v>161</v>
      </c>
      <c r="C228" s="9" t="s">
        <v>162</v>
      </c>
      <c r="D228" s="10" t="s">
        <v>11</v>
      </c>
      <c r="E228" s="11" t="s">
        <v>50</v>
      </c>
      <c r="F228" s="12">
        <v>24.7</v>
      </c>
      <c r="G228" s="12">
        <f>F228-'Estatística'!$D$6/'Estatística'!$D$10</f>
        <v>23.69698037</v>
      </c>
      <c r="H228" s="13">
        <v>44969.0</v>
      </c>
      <c r="I228" s="14" t="str">
        <f t="shared" si="1"/>
        <v>fev.</v>
      </c>
      <c r="O228" s="8"/>
    </row>
    <row r="229" ht="15.75" customHeight="1">
      <c r="A229" s="19">
        <v>47.0</v>
      </c>
      <c r="B229" s="19" t="s">
        <v>120</v>
      </c>
      <c r="C229" s="19" t="s">
        <v>121</v>
      </c>
      <c r="D229" s="20" t="s">
        <v>11</v>
      </c>
      <c r="E229" s="21" t="s">
        <v>12</v>
      </c>
      <c r="F229" s="22">
        <v>10.31</v>
      </c>
      <c r="G229" s="22">
        <f>F229-'Estatística'!$D$6/'Estatística'!$D$10</f>
        <v>9.306980371</v>
      </c>
      <c r="H229" s="23">
        <v>44969.0</v>
      </c>
      <c r="I229" s="24" t="str">
        <f t="shared" si="1"/>
        <v>fev.</v>
      </c>
      <c r="O229" s="8"/>
    </row>
    <row r="230" ht="15.75" customHeight="1">
      <c r="A230" s="9">
        <v>36.0</v>
      </c>
      <c r="B230" s="9" t="s">
        <v>92</v>
      </c>
      <c r="C230" s="9" t="s">
        <v>93</v>
      </c>
      <c r="D230" s="10" t="s">
        <v>11</v>
      </c>
      <c r="E230" s="11" t="s">
        <v>68</v>
      </c>
      <c r="F230" s="12">
        <v>15.52</v>
      </c>
      <c r="G230" s="12">
        <f>F230-'Estatística'!$D$6/'Estatística'!$D$10</f>
        <v>14.51698037</v>
      </c>
      <c r="H230" s="13">
        <v>44970.0</v>
      </c>
      <c r="I230" s="14" t="str">
        <f t="shared" si="1"/>
        <v>fev.</v>
      </c>
      <c r="O230" s="8"/>
    </row>
    <row r="231" ht="15.75" customHeight="1">
      <c r="A231" s="19">
        <v>43.0</v>
      </c>
      <c r="B231" s="19" t="s">
        <v>95</v>
      </c>
      <c r="C231" s="19" t="s">
        <v>96</v>
      </c>
      <c r="D231" s="20" t="s">
        <v>30</v>
      </c>
      <c r="E231" s="21" t="s">
        <v>85</v>
      </c>
      <c r="F231" s="22">
        <v>14.48</v>
      </c>
      <c r="G231" s="22">
        <f>F231-'Estatística'!$D$6/'Estatística'!$D$10</f>
        <v>13.47698037</v>
      </c>
      <c r="H231" s="23">
        <v>44970.0</v>
      </c>
      <c r="I231" s="24" t="str">
        <f t="shared" si="1"/>
        <v>fev.</v>
      </c>
      <c r="O231" s="8"/>
    </row>
    <row r="232" ht="15.75" customHeight="1">
      <c r="A232" s="9">
        <v>3.0</v>
      </c>
      <c r="B232" s="9" t="s">
        <v>80</v>
      </c>
      <c r="C232" s="9" t="s">
        <v>81</v>
      </c>
      <c r="D232" s="10" t="s">
        <v>11</v>
      </c>
      <c r="E232" s="11" t="s">
        <v>68</v>
      </c>
      <c r="F232" s="12">
        <v>19.16</v>
      </c>
      <c r="G232" s="12">
        <f>F232-'Estatística'!$D$6/'Estatística'!$D$10</f>
        <v>18.15698037</v>
      </c>
      <c r="H232" s="13">
        <v>44970.0</v>
      </c>
      <c r="I232" s="14" t="str">
        <f t="shared" si="1"/>
        <v>fev.</v>
      </c>
      <c r="O232" s="8"/>
    </row>
    <row r="233" ht="15.75" customHeight="1">
      <c r="A233" s="19">
        <v>63.0</v>
      </c>
      <c r="B233" s="19" t="s">
        <v>225</v>
      </c>
      <c r="C233" s="19" t="s">
        <v>226</v>
      </c>
      <c r="D233" s="20" t="s">
        <v>30</v>
      </c>
      <c r="E233" s="21" t="s">
        <v>50</v>
      </c>
      <c r="F233" s="22">
        <v>33.99</v>
      </c>
      <c r="G233" s="22">
        <f>F233-'Estatística'!$D$6/'Estatística'!$D$10</f>
        <v>32.98698037</v>
      </c>
      <c r="H233" s="23">
        <v>44970.0</v>
      </c>
      <c r="I233" s="24" t="str">
        <f t="shared" si="1"/>
        <v>fev.</v>
      </c>
      <c r="O233" s="8"/>
    </row>
    <row r="234" ht="15.75" customHeight="1">
      <c r="A234" s="9">
        <v>2.0</v>
      </c>
      <c r="B234" s="9" t="s">
        <v>83</v>
      </c>
      <c r="C234" s="9" t="s">
        <v>84</v>
      </c>
      <c r="D234" s="10" t="s">
        <v>30</v>
      </c>
      <c r="E234" s="11" t="s">
        <v>50</v>
      </c>
      <c r="F234" s="12">
        <v>33.08</v>
      </c>
      <c r="G234" s="12">
        <f>F234-'Estatística'!$D$6/'Estatística'!$D$10</f>
        <v>32.07698037</v>
      </c>
      <c r="H234" s="13">
        <v>44970.0</v>
      </c>
      <c r="I234" s="14" t="str">
        <f t="shared" si="1"/>
        <v>fev.</v>
      </c>
      <c r="O234" s="8"/>
    </row>
    <row r="235" ht="15.75" customHeight="1">
      <c r="A235" s="19">
        <v>99.0</v>
      </c>
      <c r="B235" s="19" t="s">
        <v>73</v>
      </c>
      <c r="C235" s="19" t="s">
        <v>74</v>
      </c>
      <c r="D235" s="20" t="s">
        <v>30</v>
      </c>
      <c r="E235" s="21" t="s">
        <v>76</v>
      </c>
      <c r="F235" s="22">
        <v>12.51</v>
      </c>
      <c r="G235" s="22">
        <f>F235-'Estatística'!$D$6/'Estatística'!$D$10</f>
        <v>11.50698037</v>
      </c>
      <c r="H235" s="23">
        <v>44971.0</v>
      </c>
      <c r="I235" s="24" t="str">
        <f t="shared" si="1"/>
        <v>fev.</v>
      </c>
      <c r="O235" s="8"/>
    </row>
    <row r="236" ht="15.75" customHeight="1">
      <c r="A236" s="9">
        <v>67.0</v>
      </c>
      <c r="B236" s="9" t="s">
        <v>204</v>
      </c>
      <c r="C236" s="9" t="s">
        <v>205</v>
      </c>
      <c r="D236" s="10" t="s">
        <v>30</v>
      </c>
      <c r="E236" s="11" t="s">
        <v>88</v>
      </c>
      <c r="F236" s="12">
        <v>40.71</v>
      </c>
      <c r="G236" s="12">
        <f>F236-'Estatística'!$D$6/'Estatística'!$D$10</f>
        <v>39.70698037</v>
      </c>
      <c r="H236" s="13">
        <v>44971.0</v>
      </c>
      <c r="I236" s="14" t="str">
        <f t="shared" si="1"/>
        <v>fev.</v>
      </c>
      <c r="O236" s="8"/>
    </row>
    <row r="237" ht="15.75" customHeight="1">
      <c r="A237" s="19">
        <v>98.0</v>
      </c>
      <c r="B237" s="19" t="s">
        <v>159</v>
      </c>
      <c r="C237" s="19" t="s">
        <v>196</v>
      </c>
      <c r="D237" s="20" t="s">
        <v>30</v>
      </c>
      <c r="E237" s="21" t="s">
        <v>60</v>
      </c>
      <c r="F237" s="22">
        <v>40.7</v>
      </c>
      <c r="G237" s="22">
        <f>F237-'Estatística'!$D$6/'Estatística'!$D$10</f>
        <v>39.69698037</v>
      </c>
      <c r="H237" s="23">
        <v>44971.0</v>
      </c>
      <c r="I237" s="24" t="str">
        <f t="shared" si="1"/>
        <v>fev.</v>
      </c>
      <c r="O237" s="8"/>
    </row>
    <row r="238" ht="15.75" customHeight="1">
      <c r="A238" s="9">
        <v>57.0</v>
      </c>
      <c r="B238" s="9" t="s">
        <v>92</v>
      </c>
      <c r="C238" s="9" t="s">
        <v>190</v>
      </c>
      <c r="D238" s="10" t="s">
        <v>30</v>
      </c>
      <c r="E238" s="11" t="s">
        <v>46</v>
      </c>
      <c r="F238" s="12">
        <v>14.87</v>
      </c>
      <c r="G238" s="12">
        <f>F238-'Estatística'!$D$6/'Estatística'!$D$10</f>
        <v>13.86698037</v>
      </c>
      <c r="H238" s="13">
        <v>44971.0</v>
      </c>
      <c r="I238" s="14" t="str">
        <f t="shared" si="1"/>
        <v>fev.</v>
      </c>
      <c r="O238" s="8"/>
    </row>
    <row r="239" ht="15.75" customHeight="1">
      <c r="A239" s="19">
        <v>61.0</v>
      </c>
      <c r="B239" s="19" t="s">
        <v>106</v>
      </c>
      <c r="C239" s="19" t="s">
        <v>107</v>
      </c>
      <c r="D239" s="20" t="s">
        <v>30</v>
      </c>
      <c r="E239" s="21" t="s">
        <v>60</v>
      </c>
      <c r="F239" s="22">
        <v>53.27</v>
      </c>
      <c r="G239" s="22">
        <f>F239-'Estatística'!$D$6/'Estatística'!$D$10</f>
        <v>52.26698037</v>
      </c>
      <c r="H239" s="23">
        <v>44971.0</v>
      </c>
      <c r="I239" s="24" t="str">
        <f t="shared" si="1"/>
        <v>fev.</v>
      </c>
      <c r="O239" s="8"/>
    </row>
    <row r="240" ht="15.75" customHeight="1">
      <c r="A240" s="9">
        <v>57.0</v>
      </c>
      <c r="B240" s="9" t="s">
        <v>92</v>
      </c>
      <c r="C240" s="9" t="s">
        <v>190</v>
      </c>
      <c r="D240" s="10" t="s">
        <v>11</v>
      </c>
      <c r="E240" s="11" t="s">
        <v>97</v>
      </c>
      <c r="F240" s="12">
        <v>4.44</v>
      </c>
      <c r="G240" s="12">
        <f>F240-'Estatística'!$D$6/'Estatística'!$D$10</f>
        <v>3.436980371</v>
      </c>
      <c r="H240" s="13">
        <v>44971.0</v>
      </c>
      <c r="I240" s="14" t="str">
        <f t="shared" si="1"/>
        <v>fev.</v>
      </c>
      <c r="O240" s="8"/>
    </row>
    <row r="241" ht="15.75" customHeight="1">
      <c r="A241" s="19">
        <v>11.0</v>
      </c>
      <c r="B241" s="19" t="s">
        <v>227</v>
      </c>
      <c r="C241" s="19" t="s">
        <v>228</v>
      </c>
      <c r="D241" s="20" t="s">
        <v>11</v>
      </c>
      <c r="E241" s="21" t="s">
        <v>79</v>
      </c>
      <c r="F241" s="22">
        <v>38.09</v>
      </c>
      <c r="G241" s="22">
        <f>F241-'Estatística'!$D$6/'Estatística'!$D$10</f>
        <v>37.08698037</v>
      </c>
      <c r="H241" s="23">
        <v>44971.0</v>
      </c>
      <c r="I241" s="24" t="str">
        <f t="shared" si="1"/>
        <v>fev.</v>
      </c>
      <c r="O241" s="8"/>
    </row>
    <row r="242" ht="15.75" customHeight="1">
      <c r="A242" s="9">
        <v>72.0</v>
      </c>
      <c r="B242" s="9" t="s">
        <v>133</v>
      </c>
      <c r="C242" s="9" t="s">
        <v>134</v>
      </c>
      <c r="D242" s="10" t="s">
        <v>30</v>
      </c>
      <c r="E242" s="11" t="s">
        <v>97</v>
      </c>
      <c r="F242" s="12">
        <v>3.86</v>
      </c>
      <c r="G242" s="12">
        <f>F242-'Estatística'!$D$6/'Estatística'!$D$10</f>
        <v>2.856980371</v>
      </c>
      <c r="H242" s="13">
        <v>44971.0</v>
      </c>
      <c r="I242" s="14" t="str">
        <f t="shared" si="1"/>
        <v>fev.</v>
      </c>
      <c r="O242" s="8"/>
    </row>
    <row r="243" ht="15.75" customHeight="1">
      <c r="A243" s="19">
        <v>24.0</v>
      </c>
      <c r="B243" s="19" t="s">
        <v>139</v>
      </c>
      <c r="C243" s="19" t="s">
        <v>140</v>
      </c>
      <c r="D243" s="20" t="s">
        <v>30</v>
      </c>
      <c r="E243" s="21" t="s">
        <v>94</v>
      </c>
      <c r="F243" s="22">
        <v>27.86</v>
      </c>
      <c r="G243" s="22">
        <f>F243-'Estatística'!$D$6/'Estatística'!$D$10</f>
        <v>26.85698037</v>
      </c>
      <c r="H243" s="23">
        <v>44971.0</v>
      </c>
      <c r="I243" s="24" t="str">
        <f t="shared" si="1"/>
        <v>fev.</v>
      </c>
      <c r="O243" s="8"/>
    </row>
    <row r="244" ht="15.75" customHeight="1">
      <c r="A244" s="9">
        <v>38.0</v>
      </c>
      <c r="B244" s="9" t="s">
        <v>116</v>
      </c>
      <c r="C244" s="9" t="s">
        <v>117</v>
      </c>
      <c r="D244" s="10" t="s">
        <v>11</v>
      </c>
      <c r="E244" s="11" t="s">
        <v>31</v>
      </c>
      <c r="F244" s="12">
        <v>46.48</v>
      </c>
      <c r="G244" s="12">
        <f>F244-'Estatística'!$D$6/'Estatística'!$D$10</f>
        <v>45.47698037</v>
      </c>
      <c r="H244" s="13">
        <v>44971.0</v>
      </c>
      <c r="I244" s="14" t="str">
        <f t="shared" si="1"/>
        <v>fev.</v>
      </c>
      <c r="O244" s="8"/>
    </row>
    <row r="245" ht="15.75" customHeight="1">
      <c r="A245" s="19">
        <v>17.0</v>
      </c>
      <c r="B245" s="19" t="s">
        <v>200</v>
      </c>
      <c r="C245" s="19" t="s">
        <v>201</v>
      </c>
      <c r="D245" s="20" t="s">
        <v>30</v>
      </c>
      <c r="E245" s="21" t="s">
        <v>56</v>
      </c>
      <c r="F245" s="22">
        <v>76.16</v>
      </c>
      <c r="G245" s="22">
        <f>F245-'Estatística'!$D$6/'Estatística'!$D$10</f>
        <v>75.15698037</v>
      </c>
      <c r="H245" s="23">
        <v>44971.0</v>
      </c>
      <c r="I245" s="24" t="str">
        <f t="shared" si="1"/>
        <v>fev.</v>
      </c>
      <c r="O245" s="8"/>
    </row>
    <row r="246" ht="15.75" customHeight="1">
      <c r="A246" s="9">
        <v>61.0</v>
      </c>
      <c r="B246" s="9" t="s">
        <v>106</v>
      </c>
      <c r="C246" s="9" t="s">
        <v>107</v>
      </c>
      <c r="D246" s="10" t="s">
        <v>30</v>
      </c>
      <c r="E246" s="11" t="s">
        <v>12</v>
      </c>
      <c r="F246" s="12">
        <v>10.24</v>
      </c>
      <c r="G246" s="12">
        <f>F246-'Estatística'!$D$6/'Estatística'!$D$10</f>
        <v>9.236980371</v>
      </c>
      <c r="H246" s="13">
        <v>44971.0</v>
      </c>
      <c r="I246" s="14" t="str">
        <f t="shared" si="1"/>
        <v>fev.</v>
      </c>
      <c r="O246" s="8"/>
    </row>
    <row r="247" ht="15.75" customHeight="1">
      <c r="A247" s="19">
        <v>20.0</v>
      </c>
      <c r="B247" s="19" t="s">
        <v>161</v>
      </c>
      <c r="C247" s="19" t="s">
        <v>162</v>
      </c>
      <c r="D247" s="20" t="s">
        <v>11</v>
      </c>
      <c r="E247" s="21" t="s">
        <v>12</v>
      </c>
      <c r="F247" s="22">
        <v>10.71</v>
      </c>
      <c r="G247" s="22">
        <f>F247-'Estatística'!$D$6/'Estatística'!$D$10</f>
        <v>9.706980371</v>
      </c>
      <c r="H247" s="23">
        <v>44972.0</v>
      </c>
      <c r="I247" s="24" t="str">
        <f t="shared" si="1"/>
        <v>fev.</v>
      </c>
      <c r="O247" s="8"/>
    </row>
    <row r="248" ht="15.75" customHeight="1">
      <c r="A248" s="9">
        <v>66.0</v>
      </c>
      <c r="B248" s="9" t="s">
        <v>150</v>
      </c>
      <c r="C248" s="9" t="s">
        <v>158</v>
      </c>
      <c r="D248" s="10" t="s">
        <v>11</v>
      </c>
      <c r="E248" s="11" t="s">
        <v>43</v>
      </c>
      <c r="F248" s="12">
        <v>13.78</v>
      </c>
      <c r="G248" s="12">
        <f>F248-'Estatística'!$D$6/'Estatística'!$D$10</f>
        <v>12.77698037</v>
      </c>
      <c r="H248" s="13">
        <v>44972.0</v>
      </c>
      <c r="I248" s="14" t="str">
        <f t="shared" si="1"/>
        <v>fev.</v>
      </c>
      <c r="O248" s="8"/>
    </row>
    <row r="249" ht="15.75" customHeight="1">
      <c r="A249" s="19">
        <v>63.0</v>
      </c>
      <c r="B249" s="19" t="s">
        <v>225</v>
      </c>
      <c r="C249" s="19" t="s">
        <v>226</v>
      </c>
      <c r="D249" s="20" t="s">
        <v>11</v>
      </c>
      <c r="E249" s="21" t="s">
        <v>46</v>
      </c>
      <c r="F249" s="22">
        <v>13.72</v>
      </c>
      <c r="G249" s="22">
        <f>F249-'Estatística'!$D$6/'Estatística'!$D$10</f>
        <v>12.71698037</v>
      </c>
      <c r="H249" s="23">
        <v>44972.0</v>
      </c>
      <c r="I249" s="24" t="str">
        <f t="shared" si="1"/>
        <v>fev.</v>
      </c>
      <c r="O249" s="8"/>
    </row>
    <row r="250" ht="15.75" customHeight="1">
      <c r="A250" s="9">
        <v>31.0</v>
      </c>
      <c r="B250" s="9" t="s">
        <v>229</v>
      </c>
      <c r="C250" s="9" t="s">
        <v>230</v>
      </c>
      <c r="D250" s="10" t="s">
        <v>11</v>
      </c>
      <c r="E250" s="11" t="s">
        <v>46</v>
      </c>
      <c r="F250" s="12">
        <v>14.75</v>
      </c>
      <c r="G250" s="12">
        <f>F250-'Estatística'!$D$6/'Estatística'!$D$10</f>
        <v>13.74698037</v>
      </c>
      <c r="H250" s="13">
        <v>44972.0</v>
      </c>
      <c r="I250" s="14" t="str">
        <f t="shared" si="1"/>
        <v>fev.</v>
      </c>
      <c r="O250" s="8"/>
    </row>
    <row r="251" ht="15.75" customHeight="1">
      <c r="A251" s="19">
        <v>2.0</v>
      </c>
      <c r="B251" s="19" t="s">
        <v>83</v>
      </c>
      <c r="C251" s="19" t="s">
        <v>84</v>
      </c>
      <c r="D251" s="20" t="s">
        <v>11</v>
      </c>
      <c r="E251" s="21" t="s">
        <v>79</v>
      </c>
      <c r="F251" s="22">
        <v>36.01</v>
      </c>
      <c r="G251" s="22">
        <f>F251-'Estatística'!$D$6/'Estatística'!$D$10</f>
        <v>35.00698037</v>
      </c>
      <c r="H251" s="23">
        <v>44972.0</v>
      </c>
      <c r="I251" s="24" t="str">
        <f t="shared" si="1"/>
        <v>fev.</v>
      </c>
      <c r="O251" s="8"/>
    </row>
    <row r="252" ht="15.75" customHeight="1">
      <c r="A252" s="9">
        <v>42.0</v>
      </c>
      <c r="B252" s="9" t="s">
        <v>92</v>
      </c>
      <c r="C252" s="9" t="s">
        <v>170</v>
      </c>
      <c r="D252" s="10" t="s">
        <v>30</v>
      </c>
      <c r="E252" s="11" t="s">
        <v>43</v>
      </c>
      <c r="F252" s="12">
        <v>19.29</v>
      </c>
      <c r="G252" s="12">
        <f>F252-'Estatística'!$D$6/'Estatística'!$D$10</f>
        <v>18.28698037</v>
      </c>
      <c r="H252" s="13">
        <v>44973.0</v>
      </c>
      <c r="I252" s="14" t="str">
        <f t="shared" si="1"/>
        <v>fev.</v>
      </c>
      <c r="O252" s="8"/>
    </row>
    <row r="253" ht="15.75" customHeight="1">
      <c r="A253" s="19">
        <v>30.0</v>
      </c>
      <c r="B253" s="19" t="s">
        <v>9</v>
      </c>
      <c r="C253" s="19" t="s">
        <v>10</v>
      </c>
      <c r="D253" s="20" t="s">
        <v>11</v>
      </c>
      <c r="E253" s="21" t="s">
        <v>91</v>
      </c>
      <c r="F253" s="22">
        <v>1.7</v>
      </c>
      <c r="G253" s="22">
        <f>F253-'Estatística'!$D$6/'Estatística'!$D$10</f>
        <v>0.6969803714</v>
      </c>
      <c r="H253" s="23">
        <v>44973.0</v>
      </c>
      <c r="I253" s="24" t="str">
        <f t="shared" si="1"/>
        <v>fev.</v>
      </c>
      <c r="O253" s="8"/>
    </row>
    <row r="254" ht="15.75" customHeight="1">
      <c r="A254" s="9">
        <v>32.0</v>
      </c>
      <c r="B254" s="9" t="s">
        <v>146</v>
      </c>
      <c r="C254" s="9" t="s">
        <v>147</v>
      </c>
      <c r="D254" s="10" t="s">
        <v>11</v>
      </c>
      <c r="E254" s="11" t="s">
        <v>94</v>
      </c>
      <c r="F254" s="12">
        <v>30.14</v>
      </c>
      <c r="G254" s="12">
        <f>F254-'Estatística'!$D$6/'Estatística'!$D$10</f>
        <v>29.13698037</v>
      </c>
      <c r="H254" s="13">
        <v>44973.0</v>
      </c>
      <c r="I254" s="14" t="str">
        <f t="shared" si="1"/>
        <v>fev.</v>
      </c>
      <c r="O254" s="8"/>
    </row>
    <row r="255" ht="15.75" customHeight="1">
      <c r="A255" s="19">
        <v>84.0</v>
      </c>
      <c r="B255" s="19" t="s">
        <v>141</v>
      </c>
      <c r="C255" s="19" t="s">
        <v>142</v>
      </c>
      <c r="D255" s="20" t="s">
        <v>11</v>
      </c>
      <c r="E255" s="21" t="s">
        <v>60</v>
      </c>
      <c r="F255" s="22">
        <v>46.42</v>
      </c>
      <c r="G255" s="22">
        <f>F255-'Estatística'!$D$6/'Estatística'!$D$10</f>
        <v>45.41698037</v>
      </c>
      <c r="H255" s="23">
        <v>44973.0</v>
      </c>
      <c r="I255" s="24" t="str">
        <f t="shared" si="1"/>
        <v>fev.</v>
      </c>
      <c r="O255" s="8"/>
    </row>
    <row r="256" ht="15.75" customHeight="1">
      <c r="A256" s="9">
        <v>48.0</v>
      </c>
      <c r="B256" s="9" t="s">
        <v>41</v>
      </c>
      <c r="C256" s="9" t="s">
        <v>45</v>
      </c>
      <c r="D256" s="10" t="s">
        <v>30</v>
      </c>
      <c r="E256" s="11" t="s">
        <v>43</v>
      </c>
      <c r="F256" s="12">
        <v>17.67</v>
      </c>
      <c r="G256" s="12">
        <f>F256-'Estatística'!$D$6/'Estatística'!$D$10</f>
        <v>16.66698037</v>
      </c>
      <c r="H256" s="13">
        <v>44974.0</v>
      </c>
      <c r="I256" s="14" t="str">
        <f t="shared" si="1"/>
        <v>fev.</v>
      </c>
      <c r="O256" s="8"/>
    </row>
    <row r="257" ht="15.75" customHeight="1">
      <c r="A257" s="19">
        <v>82.0</v>
      </c>
      <c r="B257" s="19" t="s">
        <v>231</v>
      </c>
      <c r="C257" s="19" t="s">
        <v>232</v>
      </c>
      <c r="D257" s="20" t="s">
        <v>11</v>
      </c>
      <c r="E257" s="21" t="s">
        <v>91</v>
      </c>
      <c r="F257" s="22">
        <v>1.54</v>
      </c>
      <c r="G257" s="22">
        <f>F257-'Estatística'!$D$6/'Estatística'!$D$10</f>
        <v>0.5369803714</v>
      </c>
      <c r="H257" s="23">
        <v>44974.0</v>
      </c>
      <c r="I257" s="24" t="str">
        <f t="shared" si="1"/>
        <v>fev.</v>
      </c>
      <c r="O257" s="8"/>
    </row>
    <row r="258" ht="15.75" customHeight="1">
      <c r="A258" s="9">
        <v>67.0</v>
      </c>
      <c r="B258" s="9" t="s">
        <v>204</v>
      </c>
      <c r="C258" s="9" t="s">
        <v>205</v>
      </c>
      <c r="D258" s="10" t="s">
        <v>11</v>
      </c>
      <c r="E258" s="11" t="s">
        <v>39</v>
      </c>
      <c r="F258" s="12">
        <v>19.23</v>
      </c>
      <c r="G258" s="12">
        <f>F258-'Estatística'!$D$6/'Estatística'!$D$10</f>
        <v>18.22698037</v>
      </c>
      <c r="H258" s="13">
        <v>44974.0</v>
      </c>
      <c r="I258" s="14" t="str">
        <f t="shared" si="1"/>
        <v>fev.</v>
      </c>
      <c r="O258" s="8"/>
    </row>
    <row r="259" ht="15.75" customHeight="1">
      <c r="A259" s="19">
        <v>49.0</v>
      </c>
      <c r="B259" s="19" t="s">
        <v>179</v>
      </c>
      <c r="C259" s="19" t="s">
        <v>180</v>
      </c>
      <c r="D259" s="20" t="s">
        <v>11</v>
      </c>
      <c r="E259" s="21" t="s">
        <v>50</v>
      </c>
      <c r="F259" s="22">
        <v>34.54</v>
      </c>
      <c r="G259" s="22">
        <f>F259-'Estatística'!$D$6/'Estatística'!$D$10</f>
        <v>33.53698037</v>
      </c>
      <c r="H259" s="23">
        <v>44974.0</v>
      </c>
      <c r="I259" s="24" t="str">
        <f t="shared" si="1"/>
        <v>fev.</v>
      </c>
      <c r="O259" s="8"/>
    </row>
    <row r="260" ht="15.75" customHeight="1">
      <c r="A260" s="9">
        <v>74.0</v>
      </c>
      <c r="B260" s="9" t="s">
        <v>9</v>
      </c>
      <c r="C260" s="9" t="s">
        <v>124</v>
      </c>
      <c r="D260" s="10" t="s">
        <v>30</v>
      </c>
      <c r="E260" s="11" t="s">
        <v>56</v>
      </c>
      <c r="F260" s="12">
        <v>67.05</v>
      </c>
      <c r="G260" s="12">
        <f>F260-'Estatística'!$D$6/'Estatística'!$D$10</f>
        <v>66.04698037</v>
      </c>
      <c r="H260" s="13">
        <v>44974.0</v>
      </c>
      <c r="I260" s="14" t="str">
        <f t="shared" si="1"/>
        <v>fev.</v>
      </c>
      <c r="O260" s="8"/>
    </row>
    <row r="261" ht="15.75" customHeight="1">
      <c r="A261" s="19">
        <v>34.0</v>
      </c>
      <c r="B261" s="19" t="s">
        <v>177</v>
      </c>
      <c r="C261" s="19" t="s">
        <v>178</v>
      </c>
      <c r="D261" s="20" t="s">
        <v>11</v>
      </c>
      <c r="E261" s="21" t="s">
        <v>39</v>
      </c>
      <c r="F261" s="22">
        <v>36.03</v>
      </c>
      <c r="G261" s="22">
        <f>F261-'Estatística'!$D$6/'Estatística'!$D$10</f>
        <v>35.02698037</v>
      </c>
      <c r="H261" s="23">
        <v>44975.0</v>
      </c>
      <c r="I261" s="24" t="str">
        <f t="shared" si="1"/>
        <v>fev.</v>
      </c>
      <c r="O261" s="8"/>
    </row>
    <row r="262" ht="15.75" customHeight="1">
      <c r="A262" s="9">
        <v>3.0</v>
      </c>
      <c r="B262" s="9" t="s">
        <v>80</v>
      </c>
      <c r="C262" s="9" t="s">
        <v>81</v>
      </c>
      <c r="D262" s="10" t="s">
        <v>11</v>
      </c>
      <c r="E262" s="11" t="s">
        <v>88</v>
      </c>
      <c r="F262" s="12">
        <v>39.66</v>
      </c>
      <c r="G262" s="12">
        <f>F262-'Estatística'!$D$6/'Estatística'!$D$10</f>
        <v>38.65698037</v>
      </c>
      <c r="H262" s="13">
        <v>44975.0</v>
      </c>
      <c r="I262" s="14" t="str">
        <f t="shared" si="1"/>
        <v>fev.</v>
      </c>
      <c r="O262" s="8"/>
    </row>
    <row r="263" ht="15.75" customHeight="1">
      <c r="A263" s="19">
        <v>58.0</v>
      </c>
      <c r="B263" s="19" t="s">
        <v>165</v>
      </c>
      <c r="C263" s="19" t="s">
        <v>166</v>
      </c>
      <c r="D263" s="20" t="s">
        <v>11</v>
      </c>
      <c r="E263" s="21" t="s">
        <v>82</v>
      </c>
      <c r="F263" s="22">
        <v>13.0</v>
      </c>
      <c r="G263" s="22">
        <f>F263-'Estatística'!$D$6/'Estatística'!$D$10</f>
        <v>11.99698037</v>
      </c>
      <c r="H263" s="23">
        <v>44975.0</v>
      </c>
      <c r="I263" s="24" t="str">
        <f t="shared" si="1"/>
        <v>fev.</v>
      </c>
      <c r="O263" s="8"/>
    </row>
    <row r="264" ht="15.75" customHeight="1">
      <c r="A264" s="9">
        <v>77.0</v>
      </c>
      <c r="B264" s="9" t="s">
        <v>9</v>
      </c>
      <c r="C264" s="9" t="s">
        <v>169</v>
      </c>
      <c r="D264" s="10" t="s">
        <v>11</v>
      </c>
      <c r="E264" s="11" t="s">
        <v>31</v>
      </c>
      <c r="F264" s="12">
        <v>56.44</v>
      </c>
      <c r="G264" s="12">
        <f>F264-'Estatística'!$D$6/'Estatística'!$D$10</f>
        <v>55.43698037</v>
      </c>
      <c r="H264" s="13">
        <v>44975.0</v>
      </c>
      <c r="I264" s="14" t="str">
        <f t="shared" si="1"/>
        <v>fev.</v>
      </c>
      <c r="O264" s="8"/>
    </row>
    <row r="265" ht="15.75" customHeight="1">
      <c r="A265" s="19">
        <v>31.0</v>
      </c>
      <c r="B265" s="19" t="s">
        <v>229</v>
      </c>
      <c r="C265" s="19" t="s">
        <v>230</v>
      </c>
      <c r="D265" s="20" t="s">
        <v>30</v>
      </c>
      <c r="E265" s="21" t="s">
        <v>43</v>
      </c>
      <c r="F265" s="22">
        <v>17.34</v>
      </c>
      <c r="G265" s="22">
        <f>F265-'Estatística'!$D$6/'Estatística'!$D$10</f>
        <v>16.33698037</v>
      </c>
      <c r="H265" s="23">
        <v>44975.0</v>
      </c>
      <c r="I265" s="24" t="str">
        <f t="shared" si="1"/>
        <v>fev.</v>
      </c>
      <c r="O265" s="8"/>
    </row>
    <row r="266" ht="15.75" customHeight="1">
      <c r="A266" s="9">
        <v>17.0</v>
      </c>
      <c r="B266" s="9" t="s">
        <v>200</v>
      </c>
      <c r="C266" s="9" t="s">
        <v>201</v>
      </c>
      <c r="D266" s="10" t="s">
        <v>30</v>
      </c>
      <c r="E266" s="11" t="s">
        <v>68</v>
      </c>
      <c r="F266" s="12">
        <v>9.2</v>
      </c>
      <c r="G266" s="12">
        <f>F266-'Estatística'!$D$6/'Estatística'!$D$10</f>
        <v>8.196980371</v>
      </c>
      <c r="H266" s="13">
        <v>44975.0</v>
      </c>
      <c r="I266" s="14" t="str">
        <f t="shared" si="1"/>
        <v>fev.</v>
      </c>
      <c r="O266" s="8"/>
    </row>
    <row r="267" ht="15.75" customHeight="1">
      <c r="A267" s="19">
        <v>24.0</v>
      </c>
      <c r="B267" s="19" t="s">
        <v>139</v>
      </c>
      <c r="C267" s="19" t="s">
        <v>140</v>
      </c>
      <c r="D267" s="20" t="s">
        <v>11</v>
      </c>
      <c r="E267" s="21" t="s">
        <v>85</v>
      </c>
      <c r="F267" s="22">
        <v>16.73</v>
      </c>
      <c r="G267" s="22">
        <f>F267-'Estatística'!$D$6/'Estatística'!$D$10</f>
        <v>15.72698037</v>
      </c>
      <c r="H267" s="23">
        <v>44975.0</v>
      </c>
      <c r="I267" s="24" t="str">
        <f t="shared" si="1"/>
        <v>fev.</v>
      </c>
      <c r="O267" s="8"/>
    </row>
    <row r="268" ht="15.75" customHeight="1">
      <c r="A268" s="9">
        <v>45.0</v>
      </c>
      <c r="B268" s="9" t="s">
        <v>221</v>
      </c>
      <c r="C268" s="9" t="s">
        <v>222</v>
      </c>
      <c r="D268" s="10" t="s">
        <v>30</v>
      </c>
      <c r="E268" s="11" t="s">
        <v>39</v>
      </c>
      <c r="F268" s="12">
        <v>30.05</v>
      </c>
      <c r="G268" s="12">
        <f>F268-'Estatística'!$D$6/'Estatística'!$D$10</f>
        <v>29.04698037</v>
      </c>
      <c r="H268" s="13">
        <v>44976.0</v>
      </c>
      <c r="I268" s="14" t="str">
        <f t="shared" si="1"/>
        <v>fev.</v>
      </c>
      <c r="O268" s="8"/>
    </row>
    <row r="269" ht="15.75" customHeight="1">
      <c r="A269" s="19">
        <v>39.0</v>
      </c>
      <c r="B269" s="19" t="s">
        <v>89</v>
      </c>
      <c r="C269" s="19" t="s">
        <v>90</v>
      </c>
      <c r="D269" s="20" t="s">
        <v>30</v>
      </c>
      <c r="E269" s="21" t="s">
        <v>76</v>
      </c>
      <c r="F269" s="22">
        <v>11.25</v>
      </c>
      <c r="G269" s="22">
        <f>F269-'Estatística'!$D$6/'Estatística'!$D$10</f>
        <v>10.24698037</v>
      </c>
      <c r="H269" s="23">
        <v>44976.0</v>
      </c>
      <c r="I269" s="24" t="str">
        <f t="shared" si="1"/>
        <v>fev.</v>
      </c>
      <c r="O269" s="8"/>
    </row>
    <row r="270" ht="15.75" customHeight="1">
      <c r="A270" s="9">
        <v>51.0</v>
      </c>
      <c r="B270" s="9" t="s">
        <v>233</v>
      </c>
      <c r="C270" s="9" t="s">
        <v>234</v>
      </c>
      <c r="D270" s="10" t="s">
        <v>11</v>
      </c>
      <c r="E270" s="11" t="s">
        <v>85</v>
      </c>
      <c r="F270" s="12">
        <v>12.44</v>
      </c>
      <c r="G270" s="12">
        <f>F270-'Estatística'!$D$6/'Estatística'!$D$10</f>
        <v>11.43698037</v>
      </c>
      <c r="H270" s="13">
        <v>44976.0</v>
      </c>
      <c r="I270" s="14" t="str">
        <f t="shared" si="1"/>
        <v>fev.</v>
      </c>
      <c r="O270" s="8"/>
    </row>
    <row r="271" ht="15.75" customHeight="1">
      <c r="A271" s="19">
        <v>46.0</v>
      </c>
      <c r="B271" s="19" t="s">
        <v>143</v>
      </c>
      <c r="C271" s="19" t="s">
        <v>144</v>
      </c>
      <c r="D271" s="20" t="s">
        <v>30</v>
      </c>
      <c r="E271" s="21" t="s">
        <v>76</v>
      </c>
      <c r="F271" s="22">
        <v>12.67</v>
      </c>
      <c r="G271" s="22">
        <f>F271-'Estatística'!$D$6/'Estatística'!$D$10</f>
        <v>11.66698037</v>
      </c>
      <c r="H271" s="23">
        <v>44976.0</v>
      </c>
      <c r="I271" s="24" t="str">
        <f t="shared" si="1"/>
        <v>fev.</v>
      </c>
      <c r="O271" s="8"/>
    </row>
    <row r="272" ht="15.75" customHeight="1">
      <c r="A272" s="9">
        <v>48.0</v>
      </c>
      <c r="B272" s="9" t="s">
        <v>41</v>
      </c>
      <c r="C272" s="9" t="s">
        <v>45</v>
      </c>
      <c r="D272" s="10" t="s">
        <v>11</v>
      </c>
      <c r="E272" s="11" t="s">
        <v>46</v>
      </c>
      <c r="F272" s="12">
        <v>12.21</v>
      </c>
      <c r="G272" s="12">
        <f>F272-'Estatística'!$D$6/'Estatística'!$D$10</f>
        <v>11.20698037</v>
      </c>
      <c r="H272" s="13">
        <v>44977.0</v>
      </c>
      <c r="I272" s="14" t="str">
        <f t="shared" si="1"/>
        <v>fev.</v>
      </c>
      <c r="O272" s="8"/>
    </row>
    <row r="273" ht="15.75" customHeight="1">
      <c r="A273" s="19">
        <v>38.0</v>
      </c>
      <c r="B273" s="19" t="s">
        <v>116</v>
      </c>
      <c r="C273" s="19" t="s">
        <v>117</v>
      </c>
      <c r="D273" s="20" t="s">
        <v>11</v>
      </c>
      <c r="E273" s="21" t="s">
        <v>97</v>
      </c>
      <c r="F273" s="22">
        <v>5.22</v>
      </c>
      <c r="G273" s="22">
        <f>F273-'Estatística'!$D$6/'Estatística'!$D$10</f>
        <v>4.216980371</v>
      </c>
      <c r="H273" s="23">
        <v>44977.0</v>
      </c>
      <c r="I273" s="24" t="str">
        <f t="shared" si="1"/>
        <v>fev.</v>
      </c>
      <c r="O273" s="8"/>
    </row>
    <row r="274" ht="15.75" customHeight="1">
      <c r="A274" s="9">
        <v>44.0</v>
      </c>
      <c r="B274" s="9" t="s">
        <v>215</v>
      </c>
      <c r="C274" s="9" t="s">
        <v>216</v>
      </c>
      <c r="D274" s="10" t="s">
        <v>11</v>
      </c>
      <c r="E274" s="11" t="s">
        <v>94</v>
      </c>
      <c r="F274" s="12">
        <v>29.09</v>
      </c>
      <c r="G274" s="12">
        <f>F274-'Estatística'!$D$6/'Estatística'!$D$10</f>
        <v>28.08698037</v>
      </c>
      <c r="H274" s="13">
        <v>44977.0</v>
      </c>
      <c r="I274" s="14" t="str">
        <f t="shared" si="1"/>
        <v>fev.</v>
      </c>
      <c r="O274" s="8"/>
    </row>
    <row r="275" ht="15.75" customHeight="1">
      <c r="A275" s="19">
        <v>73.0</v>
      </c>
      <c r="B275" s="19" t="s">
        <v>223</v>
      </c>
      <c r="C275" s="19" t="s">
        <v>224</v>
      </c>
      <c r="D275" s="20" t="s">
        <v>11</v>
      </c>
      <c r="E275" s="21" t="s">
        <v>91</v>
      </c>
      <c r="F275" s="22">
        <v>2.4</v>
      </c>
      <c r="G275" s="22">
        <f>F275-'Estatística'!$D$6/'Estatística'!$D$10</f>
        <v>1.396980371</v>
      </c>
      <c r="H275" s="23">
        <v>44977.0</v>
      </c>
      <c r="I275" s="24" t="str">
        <f t="shared" si="1"/>
        <v>fev.</v>
      </c>
      <c r="O275" s="8"/>
    </row>
    <row r="276" ht="15.75" customHeight="1">
      <c r="A276" s="9">
        <v>7.0</v>
      </c>
      <c r="B276" s="9" t="s">
        <v>114</v>
      </c>
      <c r="C276" s="9" t="s">
        <v>115</v>
      </c>
      <c r="D276" s="10" t="s">
        <v>11</v>
      </c>
      <c r="E276" s="11" t="s">
        <v>56</v>
      </c>
      <c r="F276" s="12">
        <v>75.71</v>
      </c>
      <c r="G276" s="12">
        <f>F276-'Estatística'!$D$6/'Estatística'!$D$10</f>
        <v>74.70698037</v>
      </c>
      <c r="H276" s="13">
        <v>44978.0</v>
      </c>
      <c r="I276" s="14" t="str">
        <f t="shared" si="1"/>
        <v>fev.</v>
      </c>
      <c r="O276" s="8"/>
    </row>
    <row r="277" ht="15.75" customHeight="1">
      <c r="A277" s="19">
        <v>14.0</v>
      </c>
      <c r="B277" s="19" t="s">
        <v>171</v>
      </c>
      <c r="C277" s="19" t="s">
        <v>172</v>
      </c>
      <c r="D277" s="20" t="s">
        <v>11</v>
      </c>
      <c r="E277" s="21" t="s">
        <v>12</v>
      </c>
      <c r="F277" s="22">
        <v>10.78</v>
      </c>
      <c r="G277" s="22">
        <f>F277-'Estatística'!$D$6/'Estatística'!$D$10</f>
        <v>9.776980371</v>
      </c>
      <c r="H277" s="23">
        <v>44978.0</v>
      </c>
      <c r="I277" s="24" t="str">
        <f t="shared" si="1"/>
        <v>fev.</v>
      </c>
      <c r="O277" s="8"/>
    </row>
    <row r="278" ht="15.75" customHeight="1">
      <c r="A278" s="9">
        <v>80.0</v>
      </c>
      <c r="B278" s="9" t="s">
        <v>37</v>
      </c>
      <c r="C278" s="9" t="s">
        <v>38</v>
      </c>
      <c r="D278" s="10" t="s">
        <v>30</v>
      </c>
      <c r="E278" s="11" t="s">
        <v>46</v>
      </c>
      <c r="F278" s="12">
        <v>12.09</v>
      </c>
      <c r="G278" s="12">
        <f>F278-'Estatística'!$D$6/'Estatística'!$D$10</f>
        <v>11.08698037</v>
      </c>
      <c r="H278" s="13">
        <v>44978.0</v>
      </c>
      <c r="I278" s="14" t="str">
        <f t="shared" si="1"/>
        <v>fev.</v>
      </c>
      <c r="O278" s="8"/>
    </row>
    <row r="279" ht="15.75" customHeight="1">
      <c r="A279" s="19">
        <v>32.0</v>
      </c>
      <c r="B279" s="19" t="s">
        <v>146</v>
      </c>
      <c r="C279" s="19" t="s">
        <v>147</v>
      </c>
      <c r="D279" s="20" t="s">
        <v>30</v>
      </c>
      <c r="E279" s="21" t="s">
        <v>39</v>
      </c>
      <c r="F279" s="22">
        <v>25.49</v>
      </c>
      <c r="G279" s="22">
        <f>F279-'Estatística'!$D$6/'Estatística'!$D$10</f>
        <v>24.48698037</v>
      </c>
      <c r="H279" s="23">
        <v>44978.0</v>
      </c>
      <c r="I279" s="24" t="str">
        <f t="shared" si="1"/>
        <v>fev.</v>
      </c>
      <c r="O279" s="8"/>
    </row>
    <row r="280" ht="15.75" customHeight="1">
      <c r="A280" s="9">
        <v>9.0</v>
      </c>
      <c r="B280" s="9" t="s">
        <v>207</v>
      </c>
      <c r="C280" s="9" t="s">
        <v>208</v>
      </c>
      <c r="D280" s="10" t="s">
        <v>11</v>
      </c>
      <c r="E280" s="11" t="s">
        <v>76</v>
      </c>
      <c r="F280" s="12">
        <v>12.3</v>
      </c>
      <c r="G280" s="12">
        <f>F280-'Estatística'!$D$6/'Estatística'!$D$10</f>
        <v>11.29698037</v>
      </c>
      <c r="H280" s="13">
        <v>44979.0</v>
      </c>
      <c r="I280" s="14" t="str">
        <f t="shared" si="1"/>
        <v>fev.</v>
      </c>
      <c r="O280" s="8"/>
    </row>
    <row r="281" ht="15.75" customHeight="1">
      <c r="A281" s="19">
        <v>27.0</v>
      </c>
      <c r="B281" s="19" t="s">
        <v>173</v>
      </c>
      <c r="C281" s="19" t="s">
        <v>174</v>
      </c>
      <c r="D281" s="20" t="s">
        <v>11</v>
      </c>
      <c r="E281" s="21" t="s">
        <v>85</v>
      </c>
      <c r="F281" s="22">
        <v>15.25</v>
      </c>
      <c r="G281" s="22">
        <f>F281-'Estatística'!$D$6/'Estatística'!$D$10</f>
        <v>14.24698037</v>
      </c>
      <c r="H281" s="23">
        <v>44979.0</v>
      </c>
      <c r="I281" s="24" t="str">
        <f t="shared" si="1"/>
        <v>fev.</v>
      </c>
      <c r="O281" s="8"/>
    </row>
    <row r="282" ht="15.75" customHeight="1">
      <c r="A282" s="9">
        <v>54.0</v>
      </c>
      <c r="B282" s="9" t="s">
        <v>86</v>
      </c>
      <c r="C282" s="9" t="s">
        <v>87</v>
      </c>
      <c r="D282" s="10" t="s">
        <v>11</v>
      </c>
      <c r="E282" s="11" t="s">
        <v>52</v>
      </c>
      <c r="F282" s="12">
        <v>69.01</v>
      </c>
      <c r="G282" s="12">
        <f>F282-'Estatística'!$D$6/'Estatística'!$D$10</f>
        <v>68.00698037</v>
      </c>
      <c r="H282" s="13">
        <v>44979.0</v>
      </c>
      <c r="I282" s="14" t="str">
        <f t="shared" si="1"/>
        <v>fev.</v>
      </c>
      <c r="O282" s="8"/>
    </row>
    <row r="283" ht="15.75" customHeight="1">
      <c r="A283" s="19">
        <v>23.0</v>
      </c>
      <c r="B283" s="19" t="s">
        <v>235</v>
      </c>
      <c r="C283" s="19" t="s">
        <v>236</v>
      </c>
      <c r="D283" s="20" t="s">
        <v>11</v>
      </c>
      <c r="E283" s="21" t="s">
        <v>50</v>
      </c>
      <c r="F283" s="22">
        <v>30.15</v>
      </c>
      <c r="G283" s="22">
        <f>F283-'Estatística'!$D$6/'Estatística'!$D$10</f>
        <v>29.14698037</v>
      </c>
      <c r="H283" s="23">
        <v>44979.0</v>
      </c>
      <c r="I283" s="24" t="str">
        <f t="shared" si="1"/>
        <v>fev.</v>
      </c>
      <c r="O283" s="8"/>
    </row>
    <row r="284" ht="15.75" customHeight="1">
      <c r="A284" s="9">
        <v>31.0</v>
      </c>
      <c r="B284" s="9" t="s">
        <v>229</v>
      </c>
      <c r="C284" s="9" t="s">
        <v>230</v>
      </c>
      <c r="D284" s="10" t="s">
        <v>30</v>
      </c>
      <c r="E284" s="11" t="s">
        <v>91</v>
      </c>
      <c r="F284" s="12">
        <v>3.37</v>
      </c>
      <c r="G284" s="12">
        <f>F284-'Estatística'!$D$6/'Estatística'!$D$10</f>
        <v>2.366980371</v>
      </c>
      <c r="H284" s="13">
        <v>44979.0</v>
      </c>
      <c r="I284" s="14" t="str">
        <f t="shared" si="1"/>
        <v>fev.</v>
      </c>
      <c r="O284" s="8"/>
    </row>
    <row r="285" ht="15.75" customHeight="1">
      <c r="A285" s="19">
        <v>10.0</v>
      </c>
      <c r="B285" s="19" t="s">
        <v>148</v>
      </c>
      <c r="C285" s="19" t="s">
        <v>149</v>
      </c>
      <c r="D285" s="20" t="s">
        <v>11</v>
      </c>
      <c r="E285" s="21" t="s">
        <v>91</v>
      </c>
      <c r="F285" s="22">
        <v>2.25</v>
      </c>
      <c r="G285" s="22">
        <f>F285-'Estatística'!$D$6/'Estatística'!$D$10</f>
        <v>1.246980371</v>
      </c>
      <c r="H285" s="23">
        <v>44979.0</v>
      </c>
      <c r="I285" s="24" t="str">
        <f t="shared" si="1"/>
        <v>fev.</v>
      </c>
      <c r="O285" s="8"/>
    </row>
    <row r="286" ht="15.75" customHeight="1">
      <c r="A286" s="9">
        <v>59.0</v>
      </c>
      <c r="B286" s="9" t="s">
        <v>103</v>
      </c>
      <c r="C286" s="9" t="s">
        <v>104</v>
      </c>
      <c r="D286" s="10" t="s">
        <v>30</v>
      </c>
      <c r="E286" s="11" t="s">
        <v>97</v>
      </c>
      <c r="F286" s="12">
        <v>3.45</v>
      </c>
      <c r="G286" s="12">
        <f>F286-'Estatística'!$D$6/'Estatística'!$D$10</f>
        <v>2.446980371</v>
      </c>
      <c r="H286" s="13">
        <v>44979.0</v>
      </c>
      <c r="I286" s="14" t="str">
        <f t="shared" si="1"/>
        <v>fev.</v>
      </c>
      <c r="O286" s="8"/>
    </row>
    <row r="287" ht="15.75" customHeight="1">
      <c r="A287" s="19">
        <v>10.0</v>
      </c>
      <c r="B287" s="19" t="s">
        <v>148</v>
      </c>
      <c r="C287" s="19" t="s">
        <v>149</v>
      </c>
      <c r="D287" s="20" t="s">
        <v>30</v>
      </c>
      <c r="E287" s="21" t="s">
        <v>46</v>
      </c>
      <c r="F287" s="22">
        <v>12.37</v>
      </c>
      <c r="G287" s="22">
        <f>F287-'Estatística'!$D$6/'Estatística'!$D$10</f>
        <v>11.36698037</v>
      </c>
      <c r="H287" s="23">
        <v>44979.0</v>
      </c>
      <c r="I287" s="24" t="str">
        <f t="shared" si="1"/>
        <v>fev.</v>
      </c>
      <c r="O287" s="8"/>
    </row>
    <row r="288" ht="15.75" customHeight="1">
      <c r="A288" s="9">
        <v>78.0</v>
      </c>
      <c r="B288" s="9" t="s">
        <v>28</v>
      </c>
      <c r="C288" s="9" t="s">
        <v>29</v>
      </c>
      <c r="D288" s="10" t="s">
        <v>11</v>
      </c>
      <c r="E288" s="11" t="s">
        <v>50</v>
      </c>
      <c r="F288" s="12">
        <v>34.48</v>
      </c>
      <c r="G288" s="12">
        <f>F288-'Estatística'!$D$6/'Estatística'!$D$10</f>
        <v>33.47698037</v>
      </c>
      <c r="H288" s="13">
        <v>44980.0</v>
      </c>
      <c r="I288" s="14" t="str">
        <f t="shared" si="1"/>
        <v>fev.</v>
      </c>
      <c r="O288" s="8"/>
    </row>
    <row r="289" ht="15.75" customHeight="1">
      <c r="A289" s="19">
        <v>26.0</v>
      </c>
      <c r="B289" s="19" t="s">
        <v>211</v>
      </c>
      <c r="C289" s="19" t="s">
        <v>212</v>
      </c>
      <c r="D289" s="20" t="s">
        <v>11</v>
      </c>
      <c r="E289" s="21" t="s">
        <v>31</v>
      </c>
      <c r="F289" s="22">
        <v>36.47</v>
      </c>
      <c r="G289" s="22">
        <f>F289-'Estatística'!$D$6/'Estatística'!$D$10</f>
        <v>35.46698037</v>
      </c>
      <c r="H289" s="23">
        <v>44980.0</v>
      </c>
      <c r="I289" s="24" t="str">
        <f t="shared" si="1"/>
        <v>fev.</v>
      </c>
      <c r="O289" s="8"/>
    </row>
    <row r="290" ht="15.75" customHeight="1">
      <c r="A290" s="9">
        <v>94.0</v>
      </c>
      <c r="B290" s="9" t="s">
        <v>207</v>
      </c>
      <c r="C290" s="9" t="s">
        <v>237</v>
      </c>
      <c r="D290" s="10" t="s">
        <v>11</v>
      </c>
      <c r="E290" s="11" t="s">
        <v>79</v>
      </c>
      <c r="F290" s="12">
        <v>26.86</v>
      </c>
      <c r="G290" s="12">
        <f>F290-'Estatística'!$D$6/'Estatística'!$D$10</f>
        <v>25.85698037</v>
      </c>
      <c r="H290" s="13">
        <v>44980.0</v>
      </c>
      <c r="I290" s="14" t="str">
        <f t="shared" si="1"/>
        <v>fev.</v>
      </c>
      <c r="O290" s="8"/>
    </row>
    <row r="291" ht="15.75" customHeight="1">
      <c r="A291" s="19">
        <v>45.0</v>
      </c>
      <c r="B291" s="19" t="s">
        <v>221</v>
      </c>
      <c r="C291" s="19" t="s">
        <v>222</v>
      </c>
      <c r="D291" s="20" t="s">
        <v>11</v>
      </c>
      <c r="E291" s="21" t="s">
        <v>72</v>
      </c>
      <c r="F291" s="22">
        <v>14.32</v>
      </c>
      <c r="G291" s="22">
        <f>F291-'Estatística'!$D$6/'Estatística'!$D$10</f>
        <v>13.31698037</v>
      </c>
      <c r="H291" s="23">
        <v>44980.0</v>
      </c>
      <c r="I291" s="24" t="str">
        <f t="shared" si="1"/>
        <v>fev.</v>
      </c>
      <c r="O291" s="8"/>
    </row>
    <row r="292" ht="15.75" customHeight="1">
      <c r="A292" s="9">
        <v>2.0</v>
      </c>
      <c r="B292" s="9" t="s">
        <v>83</v>
      </c>
      <c r="C292" s="9" t="s">
        <v>84</v>
      </c>
      <c r="D292" s="10" t="s">
        <v>11</v>
      </c>
      <c r="E292" s="11" t="s">
        <v>12</v>
      </c>
      <c r="F292" s="12">
        <v>10.87</v>
      </c>
      <c r="G292" s="12">
        <f>F292-'Estatística'!$D$6/'Estatística'!$D$10</f>
        <v>9.866980371</v>
      </c>
      <c r="H292" s="13">
        <v>44980.0</v>
      </c>
      <c r="I292" s="14" t="str">
        <f t="shared" si="1"/>
        <v>fev.</v>
      </c>
      <c r="O292" s="8"/>
    </row>
    <row r="293" ht="15.75" customHeight="1">
      <c r="A293" s="19">
        <v>65.0</v>
      </c>
      <c r="B293" s="19" t="s">
        <v>209</v>
      </c>
      <c r="C293" s="19" t="s">
        <v>210</v>
      </c>
      <c r="D293" s="20" t="s">
        <v>30</v>
      </c>
      <c r="E293" s="21" t="s">
        <v>39</v>
      </c>
      <c r="F293" s="22">
        <v>35.57</v>
      </c>
      <c r="G293" s="22">
        <f>F293-'Estatística'!$D$6/'Estatística'!$D$10</f>
        <v>34.56698037</v>
      </c>
      <c r="H293" s="23">
        <v>44980.0</v>
      </c>
      <c r="I293" s="24" t="str">
        <f t="shared" si="1"/>
        <v>fev.</v>
      </c>
      <c r="O293" s="8"/>
    </row>
    <row r="294" ht="15.75" customHeight="1">
      <c r="A294" s="9">
        <v>28.0</v>
      </c>
      <c r="B294" s="9" t="s">
        <v>77</v>
      </c>
      <c r="C294" s="9" t="s">
        <v>78</v>
      </c>
      <c r="D294" s="10" t="s">
        <v>11</v>
      </c>
      <c r="E294" s="11" t="s">
        <v>91</v>
      </c>
      <c r="F294" s="12">
        <v>2.04</v>
      </c>
      <c r="G294" s="12">
        <f>F294-'Estatística'!$D$6/'Estatística'!$D$10</f>
        <v>1.036980371</v>
      </c>
      <c r="H294" s="13">
        <v>44980.0</v>
      </c>
      <c r="I294" s="14" t="str">
        <f t="shared" si="1"/>
        <v>fev.</v>
      </c>
      <c r="O294" s="8"/>
    </row>
    <row r="295" ht="15.75" customHeight="1">
      <c r="A295" s="19">
        <v>85.0</v>
      </c>
      <c r="B295" s="19" t="s">
        <v>198</v>
      </c>
      <c r="C295" s="19" t="s">
        <v>199</v>
      </c>
      <c r="D295" s="20" t="s">
        <v>11</v>
      </c>
      <c r="E295" s="21" t="s">
        <v>76</v>
      </c>
      <c r="F295" s="22">
        <v>11.71</v>
      </c>
      <c r="G295" s="22">
        <f>F295-'Estatística'!$D$6/'Estatística'!$D$10</f>
        <v>10.70698037</v>
      </c>
      <c r="H295" s="23">
        <v>44980.0</v>
      </c>
      <c r="I295" s="24" t="str">
        <f t="shared" si="1"/>
        <v>fev.</v>
      </c>
      <c r="O295" s="8"/>
    </row>
    <row r="296" ht="15.75" customHeight="1">
      <c r="A296" s="9">
        <v>72.0</v>
      </c>
      <c r="B296" s="9" t="s">
        <v>133</v>
      </c>
      <c r="C296" s="9" t="s">
        <v>134</v>
      </c>
      <c r="D296" s="10" t="s">
        <v>11</v>
      </c>
      <c r="E296" s="11" t="s">
        <v>79</v>
      </c>
      <c r="F296" s="12">
        <v>33.16</v>
      </c>
      <c r="G296" s="12">
        <f>F296-'Estatística'!$D$6/'Estatística'!$D$10</f>
        <v>32.15698037</v>
      </c>
      <c r="H296" s="13">
        <v>44980.0</v>
      </c>
      <c r="I296" s="14" t="str">
        <f t="shared" si="1"/>
        <v>fev.</v>
      </c>
      <c r="O296" s="8"/>
    </row>
    <row r="297" ht="15.75" customHeight="1">
      <c r="A297" s="19">
        <v>75.0</v>
      </c>
      <c r="B297" s="19" t="s">
        <v>238</v>
      </c>
      <c r="C297" s="19" t="s">
        <v>239</v>
      </c>
      <c r="D297" s="20" t="s">
        <v>11</v>
      </c>
      <c r="E297" s="21" t="s">
        <v>31</v>
      </c>
      <c r="F297" s="22">
        <v>48.46</v>
      </c>
      <c r="G297" s="22">
        <f>F297-'Estatística'!$D$6/'Estatística'!$D$10</f>
        <v>47.45698037</v>
      </c>
      <c r="H297" s="23">
        <v>44981.0</v>
      </c>
      <c r="I297" s="24" t="str">
        <f t="shared" si="1"/>
        <v>fev.</v>
      </c>
      <c r="O297" s="8"/>
    </row>
    <row r="298" ht="15.75" customHeight="1">
      <c r="A298" s="9">
        <v>35.0</v>
      </c>
      <c r="B298" s="9" t="s">
        <v>125</v>
      </c>
      <c r="C298" s="9" t="s">
        <v>126</v>
      </c>
      <c r="D298" s="10" t="s">
        <v>11</v>
      </c>
      <c r="E298" s="11" t="s">
        <v>97</v>
      </c>
      <c r="F298" s="12">
        <v>4.64</v>
      </c>
      <c r="G298" s="12">
        <f>F298-'Estatística'!$D$6/'Estatística'!$D$10</f>
        <v>3.636980371</v>
      </c>
      <c r="H298" s="13">
        <v>44981.0</v>
      </c>
      <c r="I298" s="14" t="str">
        <f t="shared" si="1"/>
        <v>fev.</v>
      </c>
      <c r="O298" s="8"/>
    </row>
    <row r="299" ht="15.75" customHeight="1">
      <c r="A299" s="19">
        <v>6.0</v>
      </c>
      <c r="B299" s="19" t="s">
        <v>183</v>
      </c>
      <c r="C299" s="19" t="s">
        <v>184</v>
      </c>
      <c r="D299" s="20" t="s">
        <v>11</v>
      </c>
      <c r="E299" s="21" t="s">
        <v>50</v>
      </c>
      <c r="F299" s="22">
        <v>24.74</v>
      </c>
      <c r="G299" s="22">
        <f>F299-'Estatística'!$D$6/'Estatística'!$D$10</f>
        <v>23.73698037</v>
      </c>
      <c r="H299" s="23">
        <v>44981.0</v>
      </c>
      <c r="I299" s="24" t="str">
        <f t="shared" si="1"/>
        <v>fev.</v>
      </c>
      <c r="O299" s="8"/>
    </row>
    <row r="300" ht="15.75" customHeight="1">
      <c r="A300" s="9">
        <v>10.0</v>
      </c>
      <c r="B300" s="9" t="s">
        <v>148</v>
      </c>
      <c r="C300" s="9" t="s">
        <v>149</v>
      </c>
      <c r="D300" s="10" t="s">
        <v>30</v>
      </c>
      <c r="E300" s="11" t="s">
        <v>94</v>
      </c>
      <c r="F300" s="12">
        <v>26.32</v>
      </c>
      <c r="G300" s="12">
        <f>F300-'Estatística'!$D$6/'Estatística'!$D$10</f>
        <v>25.31698037</v>
      </c>
      <c r="H300" s="13">
        <v>44981.0</v>
      </c>
      <c r="I300" s="14" t="str">
        <f t="shared" si="1"/>
        <v>fev.</v>
      </c>
      <c r="O300" s="8"/>
    </row>
    <row r="301" ht="15.75" customHeight="1">
      <c r="A301" s="19">
        <v>47.0</v>
      </c>
      <c r="B301" s="19" t="s">
        <v>120</v>
      </c>
      <c r="C301" s="19" t="s">
        <v>121</v>
      </c>
      <c r="D301" s="20" t="s">
        <v>30</v>
      </c>
      <c r="E301" s="21" t="s">
        <v>39</v>
      </c>
      <c r="F301" s="22">
        <v>21.13</v>
      </c>
      <c r="G301" s="22">
        <f>F301-'Estatística'!$D$6/'Estatística'!$D$10</f>
        <v>20.12698037</v>
      </c>
      <c r="H301" s="23">
        <v>44981.0</v>
      </c>
      <c r="I301" s="24" t="str">
        <f t="shared" si="1"/>
        <v>fev.</v>
      </c>
      <c r="O301" s="8"/>
    </row>
    <row r="302" ht="15.75" customHeight="1">
      <c r="A302" s="9">
        <v>23.0</v>
      </c>
      <c r="B302" s="9" t="s">
        <v>235</v>
      </c>
      <c r="C302" s="9" t="s">
        <v>236</v>
      </c>
      <c r="D302" s="10" t="s">
        <v>30</v>
      </c>
      <c r="E302" s="11" t="s">
        <v>94</v>
      </c>
      <c r="F302" s="12">
        <v>31.4</v>
      </c>
      <c r="G302" s="12">
        <f>F302-'Estatística'!$D$6/'Estatística'!$D$10</f>
        <v>30.39698037</v>
      </c>
      <c r="H302" s="13">
        <v>44981.0</v>
      </c>
      <c r="I302" s="14" t="str">
        <f t="shared" si="1"/>
        <v>fev.</v>
      </c>
      <c r="O302" s="8"/>
    </row>
    <row r="303" ht="15.75" customHeight="1">
      <c r="A303" s="19">
        <v>90.0</v>
      </c>
      <c r="B303" s="19" t="s">
        <v>219</v>
      </c>
      <c r="C303" s="19" t="s">
        <v>220</v>
      </c>
      <c r="D303" s="20" t="s">
        <v>11</v>
      </c>
      <c r="E303" s="21" t="s">
        <v>85</v>
      </c>
      <c r="F303" s="22">
        <v>16.48</v>
      </c>
      <c r="G303" s="22">
        <f>F303-'Estatística'!$D$6/'Estatística'!$D$10</f>
        <v>15.47698037</v>
      </c>
      <c r="H303" s="23">
        <v>44982.0</v>
      </c>
      <c r="I303" s="24" t="str">
        <f t="shared" si="1"/>
        <v>fev.</v>
      </c>
      <c r="O303" s="8"/>
    </row>
    <row r="304" ht="15.75" customHeight="1">
      <c r="A304" s="9">
        <v>8.0</v>
      </c>
      <c r="B304" s="9" t="s">
        <v>108</v>
      </c>
      <c r="C304" s="9" t="s">
        <v>109</v>
      </c>
      <c r="D304" s="10" t="s">
        <v>30</v>
      </c>
      <c r="E304" s="11" t="s">
        <v>50</v>
      </c>
      <c r="F304" s="12">
        <v>26.22</v>
      </c>
      <c r="G304" s="12">
        <f>F304-'Estatística'!$D$6/'Estatística'!$D$10</f>
        <v>25.21698037</v>
      </c>
      <c r="H304" s="13">
        <v>44982.0</v>
      </c>
      <c r="I304" s="14" t="str">
        <f t="shared" si="1"/>
        <v>fev.</v>
      </c>
      <c r="O304" s="8"/>
    </row>
    <row r="305" ht="15.75" customHeight="1">
      <c r="A305" s="19">
        <v>94.0</v>
      </c>
      <c r="B305" s="19" t="s">
        <v>207</v>
      </c>
      <c r="C305" s="19" t="s">
        <v>237</v>
      </c>
      <c r="D305" s="20" t="s">
        <v>30</v>
      </c>
      <c r="E305" s="21" t="s">
        <v>79</v>
      </c>
      <c r="F305" s="22">
        <v>27.42</v>
      </c>
      <c r="G305" s="22">
        <f>F305-'Estatística'!$D$6/'Estatística'!$D$10</f>
        <v>26.41698037</v>
      </c>
      <c r="H305" s="23">
        <v>44982.0</v>
      </c>
      <c r="I305" s="24" t="str">
        <f t="shared" si="1"/>
        <v>fev.</v>
      </c>
      <c r="O305" s="8"/>
    </row>
    <row r="306" ht="15.75" customHeight="1">
      <c r="A306" s="9">
        <v>18.0</v>
      </c>
      <c r="B306" s="9" t="s">
        <v>163</v>
      </c>
      <c r="C306" s="9" t="s">
        <v>240</v>
      </c>
      <c r="D306" s="10" t="s">
        <v>30</v>
      </c>
      <c r="E306" s="11" t="s">
        <v>79</v>
      </c>
      <c r="F306" s="12">
        <v>37.17</v>
      </c>
      <c r="G306" s="12">
        <f>F306-'Estatística'!$D$6/'Estatística'!$D$10</f>
        <v>36.16698037</v>
      </c>
      <c r="H306" s="13">
        <v>44982.0</v>
      </c>
      <c r="I306" s="14" t="str">
        <f t="shared" si="1"/>
        <v>fev.</v>
      </c>
      <c r="O306" s="8"/>
    </row>
    <row r="307" ht="15.75" customHeight="1">
      <c r="A307" s="19">
        <v>91.0</v>
      </c>
      <c r="B307" s="19" t="s">
        <v>112</v>
      </c>
      <c r="C307" s="19" t="s">
        <v>113</v>
      </c>
      <c r="D307" s="20" t="s">
        <v>11</v>
      </c>
      <c r="E307" s="21" t="s">
        <v>46</v>
      </c>
      <c r="F307" s="22">
        <v>12.36</v>
      </c>
      <c r="G307" s="22">
        <f>F307-'Estatística'!$D$6/'Estatística'!$D$10</f>
        <v>11.35698037</v>
      </c>
      <c r="H307" s="23">
        <v>44982.0</v>
      </c>
      <c r="I307" s="24" t="str">
        <f t="shared" si="1"/>
        <v>fev.</v>
      </c>
      <c r="O307" s="8"/>
    </row>
    <row r="308" ht="15.75" customHeight="1">
      <c r="A308" s="9">
        <v>3.0</v>
      </c>
      <c r="B308" s="9" t="s">
        <v>80</v>
      </c>
      <c r="C308" s="9" t="s">
        <v>81</v>
      </c>
      <c r="D308" s="10" t="s">
        <v>11</v>
      </c>
      <c r="E308" s="11" t="s">
        <v>82</v>
      </c>
      <c r="F308" s="12">
        <v>14.07</v>
      </c>
      <c r="G308" s="12">
        <f>F308-'Estatística'!$D$6/'Estatística'!$D$10</f>
        <v>13.06698037</v>
      </c>
      <c r="H308" s="13">
        <v>44982.0</v>
      </c>
      <c r="I308" s="14" t="str">
        <f t="shared" si="1"/>
        <v>fev.</v>
      </c>
      <c r="O308" s="8"/>
    </row>
    <row r="309" ht="15.75" customHeight="1">
      <c r="A309" s="19">
        <v>59.0</v>
      </c>
      <c r="B309" s="19" t="s">
        <v>103</v>
      </c>
      <c r="C309" s="19" t="s">
        <v>104</v>
      </c>
      <c r="D309" s="20" t="s">
        <v>11</v>
      </c>
      <c r="E309" s="21" t="s">
        <v>31</v>
      </c>
      <c r="F309" s="22">
        <v>55.73</v>
      </c>
      <c r="G309" s="22">
        <f>F309-'Estatística'!$D$6/'Estatística'!$D$10</f>
        <v>54.72698037</v>
      </c>
      <c r="H309" s="23">
        <v>44983.0</v>
      </c>
      <c r="I309" s="24" t="str">
        <f t="shared" si="1"/>
        <v>fev.</v>
      </c>
      <c r="O309" s="8"/>
    </row>
    <row r="310" ht="15.75" customHeight="1">
      <c r="A310" s="9">
        <v>53.0</v>
      </c>
      <c r="B310" s="9" t="s">
        <v>241</v>
      </c>
      <c r="C310" s="9" t="s">
        <v>242</v>
      </c>
      <c r="D310" s="10" t="s">
        <v>30</v>
      </c>
      <c r="E310" s="11" t="s">
        <v>79</v>
      </c>
      <c r="F310" s="12">
        <v>34.13</v>
      </c>
      <c r="G310" s="12">
        <f>F310-'Estatística'!$D$6/'Estatística'!$D$10</f>
        <v>33.12698037</v>
      </c>
      <c r="H310" s="13">
        <v>44983.0</v>
      </c>
      <c r="I310" s="14" t="str">
        <f t="shared" si="1"/>
        <v>fev.</v>
      </c>
      <c r="O310" s="8"/>
    </row>
    <row r="311" ht="15.75" customHeight="1">
      <c r="A311" s="19">
        <v>41.0</v>
      </c>
      <c r="B311" s="19" t="s">
        <v>217</v>
      </c>
      <c r="C311" s="19" t="s">
        <v>218</v>
      </c>
      <c r="D311" s="20" t="s">
        <v>30</v>
      </c>
      <c r="E311" s="21" t="s">
        <v>91</v>
      </c>
      <c r="F311" s="22">
        <v>3.48</v>
      </c>
      <c r="G311" s="22">
        <f>F311-'Estatística'!$D$6/'Estatística'!$D$10</f>
        <v>2.476980371</v>
      </c>
      <c r="H311" s="23">
        <v>44983.0</v>
      </c>
      <c r="I311" s="24" t="str">
        <f t="shared" si="1"/>
        <v>fev.</v>
      </c>
      <c r="O311" s="8"/>
    </row>
    <row r="312" ht="15.75" customHeight="1">
      <c r="A312" s="9">
        <v>7.0</v>
      </c>
      <c r="B312" s="9" t="s">
        <v>114</v>
      </c>
      <c r="C312" s="9" t="s">
        <v>115</v>
      </c>
      <c r="D312" s="10" t="s">
        <v>30</v>
      </c>
      <c r="E312" s="11" t="s">
        <v>91</v>
      </c>
      <c r="F312" s="12">
        <v>2.12</v>
      </c>
      <c r="G312" s="12">
        <f>F312-'Estatística'!$D$6/'Estatística'!$D$10</f>
        <v>1.116980371</v>
      </c>
      <c r="H312" s="13">
        <v>44984.0</v>
      </c>
      <c r="I312" s="14" t="str">
        <f t="shared" si="1"/>
        <v>fev.</v>
      </c>
      <c r="O312" s="8"/>
    </row>
    <row r="313" ht="15.75" customHeight="1">
      <c r="A313" s="19">
        <v>92.0</v>
      </c>
      <c r="B313" s="19" t="s">
        <v>112</v>
      </c>
      <c r="C313" s="19" t="s">
        <v>197</v>
      </c>
      <c r="D313" s="20" t="s">
        <v>11</v>
      </c>
      <c r="E313" s="21" t="s">
        <v>43</v>
      </c>
      <c r="F313" s="22">
        <v>15.85</v>
      </c>
      <c r="G313" s="22">
        <f>F313-'Estatística'!$D$6/'Estatística'!$D$10</f>
        <v>14.84698037</v>
      </c>
      <c r="H313" s="23">
        <v>44984.0</v>
      </c>
      <c r="I313" s="24" t="str">
        <f t="shared" si="1"/>
        <v>fev.</v>
      </c>
      <c r="O313" s="8"/>
    </row>
    <row r="314" ht="15.75" customHeight="1">
      <c r="A314" s="9">
        <v>66.0</v>
      </c>
      <c r="B314" s="9" t="s">
        <v>150</v>
      </c>
      <c r="C314" s="9" t="s">
        <v>158</v>
      </c>
      <c r="D314" s="10" t="s">
        <v>30</v>
      </c>
      <c r="E314" s="11" t="s">
        <v>52</v>
      </c>
      <c r="F314" s="12">
        <v>69.19</v>
      </c>
      <c r="G314" s="12">
        <f>F314-'Estatística'!$D$6/'Estatística'!$D$10</f>
        <v>68.18698037</v>
      </c>
      <c r="H314" s="13">
        <v>44984.0</v>
      </c>
      <c r="I314" s="14" t="str">
        <f t="shared" si="1"/>
        <v>fev.</v>
      </c>
      <c r="O314" s="8"/>
    </row>
    <row r="315" ht="15.75" customHeight="1">
      <c r="A315" s="19">
        <v>70.0</v>
      </c>
      <c r="B315" s="19" t="s">
        <v>152</v>
      </c>
      <c r="C315" s="19" t="s">
        <v>153</v>
      </c>
      <c r="D315" s="20" t="s">
        <v>30</v>
      </c>
      <c r="E315" s="21" t="s">
        <v>35</v>
      </c>
      <c r="F315" s="22">
        <v>18.07</v>
      </c>
      <c r="G315" s="22">
        <f>F315-'Estatística'!$D$6/'Estatística'!$D$10</f>
        <v>17.06698037</v>
      </c>
      <c r="H315" s="23">
        <v>44984.0</v>
      </c>
      <c r="I315" s="24" t="str">
        <f t="shared" si="1"/>
        <v>fev.</v>
      </c>
      <c r="O315" s="8"/>
    </row>
    <row r="316" ht="15.75" customHeight="1">
      <c r="A316" s="9">
        <v>9.0</v>
      </c>
      <c r="B316" s="9" t="s">
        <v>207</v>
      </c>
      <c r="C316" s="9" t="s">
        <v>208</v>
      </c>
      <c r="D316" s="10" t="s">
        <v>30</v>
      </c>
      <c r="E316" s="11" t="s">
        <v>46</v>
      </c>
      <c r="F316" s="12">
        <v>14.27</v>
      </c>
      <c r="G316" s="12">
        <f>F316-'Estatística'!$D$6/'Estatística'!$D$10</f>
        <v>13.26698037</v>
      </c>
      <c r="H316" s="13">
        <v>44984.0</v>
      </c>
      <c r="I316" s="14" t="str">
        <f t="shared" si="1"/>
        <v>fev.</v>
      </c>
      <c r="O316" s="8"/>
    </row>
    <row r="317" ht="15.75" customHeight="1">
      <c r="A317" s="19">
        <v>42.0</v>
      </c>
      <c r="B317" s="19" t="s">
        <v>92</v>
      </c>
      <c r="C317" s="19" t="s">
        <v>170</v>
      </c>
      <c r="D317" s="20" t="s">
        <v>30</v>
      </c>
      <c r="E317" s="21" t="s">
        <v>97</v>
      </c>
      <c r="F317" s="22">
        <v>2.39</v>
      </c>
      <c r="G317" s="22">
        <f>F317-'Estatística'!$D$6/'Estatística'!$D$10</f>
        <v>1.386980371</v>
      </c>
      <c r="H317" s="23">
        <v>44985.0</v>
      </c>
      <c r="I317" s="24" t="str">
        <f t="shared" si="1"/>
        <v>fev.</v>
      </c>
      <c r="O317" s="8"/>
    </row>
    <row r="318" ht="15.75" customHeight="1">
      <c r="A318" s="9">
        <v>61.0</v>
      </c>
      <c r="B318" s="9" t="s">
        <v>106</v>
      </c>
      <c r="C318" s="9" t="s">
        <v>107</v>
      </c>
      <c r="D318" s="10" t="s">
        <v>30</v>
      </c>
      <c r="E318" s="11" t="s">
        <v>52</v>
      </c>
      <c r="F318" s="12">
        <v>57.2</v>
      </c>
      <c r="G318" s="12">
        <f>F318-'Estatística'!$D$6/'Estatística'!$D$10</f>
        <v>56.19698037</v>
      </c>
      <c r="H318" s="13">
        <v>44985.0</v>
      </c>
      <c r="I318" s="14" t="str">
        <f t="shared" si="1"/>
        <v>fev.</v>
      </c>
      <c r="O318" s="8"/>
    </row>
    <row r="319" ht="15.75" customHeight="1">
      <c r="A319" s="19">
        <v>63.0</v>
      </c>
      <c r="B319" s="19" t="s">
        <v>225</v>
      </c>
      <c r="C319" s="19" t="s">
        <v>226</v>
      </c>
      <c r="D319" s="20" t="s">
        <v>30</v>
      </c>
      <c r="E319" s="21" t="s">
        <v>60</v>
      </c>
      <c r="F319" s="22">
        <v>54.76</v>
      </c>
      <c r="G319" s="22">
        <f>F319-'Estatística'!$D$6/'Estatística'!$D$10</f>
        <v>53.75698037</v>
      </c>
      <c r="H319" s="23">
        <v>44985.0</v>
      </c>
      <c r="I319" s="24" t="str">
        <f t="shared" si="1"/>
        <v>fev.</v>
      </c>
      <c r="O319" s="8"/>
    </row>
    <row r="320" ht="15.75" customHeight="1">
      <c r="A320" s="9">
        <v>8.0</v>
      </c>
      <c r="B320" s="9" t="s">
        <v>108</v>
      </c>
      <c r="C320" s="9" t="s">
        <v>109</v>
      </c>
      <c r="D320" s="10" t="s">
        <v>30</v>
      </c>
      <c r="E320" s="11" t="s">
        <v>97</v>
      </c>
      <c r="F320" s="12">
        <v>2.28</v>
      </c>
      <c r="G320" s="12">
        <f>F320-'Estatística'!$D$6/'Estatística'!$D$10</f>
        <v>1.276980371</v>
      </c>
      <c r="H320" s="13">
        <v>44985.0</v>
      </c>
      <c r="I320" s="14" t="str">
        <f t="shared" si="1"/>
        <v>fev.</v>
      </c>
      <c r="O320" s="8"/>
    </row>
    <row r="321" ht="15.75" customHeight="1">
      <c r="A321" s="19">
        <v>8.0</v>
      </c>
      <c r="B321" s="19" t="s">
        <v>108</v>
      </c>
      <c r="C321" s="19" t="s">
        <v>109</v>
      </c>
      <c r="D321" s="20" t="s">
        <v>30</v>
      </c>
      <c r="E321" s="21" t="s">
        <v>52</v>
      </c>
      <c r="F321" s="22">
        <v>49.9</v>
      </c>
      <c r="G321" s="22">
        <f>F321-'Estatística'!$D$6/'Estatística'!$D$10</f>
        <v>48.89698037</v>
      </c>
      <c r="H321" s="23">
        <v>44985.0</v>
      </c>
      <c r="I321" s="24" t="str">
        <f t="shared" si="1"/>
        <v>fev.</v>
      </c>
      <c r="O321" s="8"/>
    </row>
    <row r="322" ht="15.75" customHeight="1">
      <c r="A322" s="9">
        <v>80.0</v>
      </c>
      <c r="B322" s="9" t="s">
        <v>37</v>
      </c>
      <c r="C322" s="9" t="s">
        <v>38</v>
      </c>
      <c r="D322" s="10" t="s">
        <v>11</v>
      </c>
      <c r="E322" s="11" t="s">
        <v>60</v>
      </c>
      <c r="F322" s="12">
        <v>47.93</v>
      </c>
      <c r="G322" s="12">
        <f>F322-'Estatística'!$D$6/'Estatística'!$D$10</f>
        <v>46.92698037</v>
      </c>
      <c r="H322" s="13">
        <v>44985.0</v>
      </c>
      <c r="I322" s="14" t="str">
        <f t="shared" si="1"/>
        <v>fev.</v>
      </c>
      <c r="O322" s="8"/>
    </row>
    <row r="323" ht="15.75" customHeight="1">
      <c r="A323" s="19">
        <v>89.0</v>
      </c>
      <c r="B323" s="19" t="s">
        <v>135</v>
      </c>
      <c r="C323" s="19" t="s">
        <v>136</v>
      </c>
      <c r="D323" s="20" t="s">
        <v>30</v>
      </c>
      <c r="E323" s="21" t="s">
        <v>68</v>
      </c>
      <c r="F323" s="22">
        <v>11.89</v>
      </c>
      <c r="G323" s="22">
        <f>F323-'Estatística'!$D$6/'Estatística'!$D$10</f>
        <v>10.88698037</v>
      </c>
      <c r="H323" s="23">
        <v>44985.0</v>
      </c>
      <c r="I323" s="24" t="str">
        <f t="shared" si="1"/>
        <v>fev.</v>
      </c>
      <c r="O323" s="8"/>
    </row>
    <row r="324" ht="15.75" customHeight="1">
      <c r="A324" s="9">
        <v>15.0</v>
      </c>
      <c r="B324" s="9" t="s">
        <v>58</v>
      </c>
      <c r="C324" s="9" t="s">
        <v>59</v>
      </c>
      <c r="D324" s="10" t="s">
        <v>30</v>
      </c>
      <c r="E324" s="11" t="s">
        <v>60</v>
      </c>
      <c r="F324" s="12">
        <v>58.65</v>
      </c>
      <c r="G324" s="12">
        <f>F324-'Estatística'!$D$6/'Estatística'!$D$10</f>
        <v>57.64698037</v>
      </c>
      <c r="H324" s="13">
        <v>44985.0</v>
      </c>
      <c r="I324" s="14" t="str">
        <f t="shared" si="1"/>
        <v>fev.</v>
      </c>
      <c r="O324" s="8"/>
    </row>
    <row r="325" ht="15.75" customHeight="1">
      <c r="A325" s="19">
        <v>55.0</v>
      </c>
      <c r="B325" s="19" t="s">
        <v>202</v>
      </c>
      <c r="C325" s="19" t="s">
        <v>203</v>
      </c>
      <c r="D325" s="20" t="s">
        <v>30</v>
      </c>
      <c r="E325" s="21" t="s">
        <v>12</v>
      </c>
      <c r="F325" s="22">
        <v>10.72</v>
      </c>
      <c r="G325" s="22">
        <f>F325-'Estatística'!$D$6/'Estatística'!$D$10</f>
        <v>9.716980371</v>
      </c>
      <c r="H325" s="23">
        <v>44985.0</v>
      </c>
      <c r="I325" s="24" t="str">
        <f t="shared" si="1"/>
        <v>fev.</v>
      </c>
      <c r="O325" s="8"/>
    </row>
    <row r="326" ht="15.75" customHeight="1">
      <c r="A326" s="9">
        <v>87.0</v>
      </c>
      <c r="B326" s="9" t="s">
        <v>243</v>
      </c>
      <c r="C326" s="9" t="s">
        <v>244</v>
      </c>
      <c r="D326" s="10" t="s">
        <v>11</v>
      </c>
      <c r="E326" s="11" t="s">
        <v>82</v>
      </c>
      <c r="F326" s="12">
        <v>13.25</v>
      </c>
      <c r="G326" s="12">
        <f>F326-'Estatística'!$D$6/'Estatística'!$D$10</f>
        <v>12.24698037</v>
      </c>
      <c r="H326" s="13">
        <v>44986.0</v>
      </c>
      <c r="I326" s="14" t="str">
        <f t="shared" si="1"/>
        <v>mar.</v>
      </c>
      <c r="O326" s="8"/>
    </row>
    <row r="327" ht="15.75" customHeight="1">
      <c r="A327" s="19">
        <v>53.0</v>
      </c>
      <c r="B327" s="19" t="s">
        <v>241</v>
      </c>
      <c r="C327" s="19" t="s">
        <v>242</v>
      </c>
      <c r="D327" s="20" t="s">
        <v>30</v>
      </c>
      <c r="E327" s="21" t="s">
        <v>12</v>
      </c>
      <c r="F327" s="22">
        <v>10.68</v>
      </c>
      <c r="G327" s="22">
        <f>F327-'Estatística'!$D$6/'Estatística'!$D$10</f>
        <v>9.676980371</v>
      </c>
      <c r="H327" s="23">
        <v>44986.0</v>
      </c>
      <c r="I327" s="24" t="str">
        <f t="shared" si="1"/>
        <v>mar.</v>
      </c>
      <c r="O327" s="8"/>
    </row>
    <row r="328" ht="15.75" customHeight="1">
      <c r="A328" s="9">
        <v>44.0</v>
      </c>
      <c r="B328" s="9" t="s">
        <v>215</v>
      </c>
      <c r="C328" s="9" t="s">
        <v>216</v>
      </c>
      <c r="D328" s="10" t="s">
        <v>30</v>
      </c>
      <c r="E328" s="11" t="s">
        <v>50</v>
      </c>
      <c r="F328" s="12">
        <v>23.04</v>
      </c>
      <c r="G328" s="12">
        <f>F328-'Estatística'!$D$6/'Estatística'!$D$10</f>
        <v>22.03698037</v>
      </c>
      <c r="H328" s="13">
        <v>44986.0</v>
      </c>
      <c r="I328" s="14" t="str">
        <f t="shared" si="1"/>
        <v>mar.</v>
      </c>
      <c r="O328" s="8"/>
    </row>
    <row r="329" ht="15.75" customHeight="1">
      <c r="A329" s="19">
        <v>77.0</v>
      </c>
      <c r="B329" s="19" t="s">
        <v>9</v>
      </c>
      <c r="C329" s="19" t="s">
        <v>169</v>
      </c>
      <c r="D329" s="20" t="s">
        <v>30</v>
      </c>
      <c r="E329" s="21" t="s">
        <v>85</v>
      </c>
      <c r="F329" s="22">
        <v>16.0</v>
      </c>
      <c r="G329" s="22">
        <f>F329-'Estatística'!$D$6/'Estatística'!$D$10</f>
        <v>14.99698037</v>
      </c>
      <c r="H329" s="23">
        <v>44986.0</v>
      </c>
      <c r="I329" s="24" t="str">
        <f t="shared" si="1"/>
        <v>mar.</v>
      </c>
      <c r="O329" s="8"/>
    </row>
    <row r="330" ht="15.75" customHeight="1">
      <c r="A330" s="9">
        <v>21.0</v>
      </c>
      <c r="B330" s="9" t="s">
        <v>186</v>
      </c>
      <c r="C330" s="9" t="s">
        <v>187</v>
      </c>
      <c r="D330" s="10" t="s">
        <v>30</v>
      </c>
      <c r="E330" s="11" t="s">
        <v>12</v>
      </c>
      <c r="F330" s="12">
        <v>10.18</v>
      </c>
      <c r="G330" s="12">
        <f>F330-'Estatística'!$D$6/'Estatística'!$D$10</f>
        <v>9.176980371</v>
      </c>
      <c r="H330" s="13">
        <v>44986.0</v>
      </c>
      <c r="I330" s="14" t="str">
        <f t="shared" si="1"/>
        <v>mar.</v>
      </c>
      <c r="O330" s="8"/>
    </row>
    <row r="331" ht="15.75" customHeight="1">
      <c r="A331" s="19">
        <v>39.0</v>
      </c>
      <c r="B331" s="19" t="s">
        <v>89</v>
      </c>
      <c r="C331" s="19" t="s">
        <v>90</v>
      </c>
      <c r="D331" s="20" t="s">
        <v>11</v>
      </c>
      <c r="E331" s="21" t="s">
        <v>88</v>
      </c>
      <c r="F331" s="22">
        <v>32.67</v>
      </c>
      <c r="G331" s="22">
        <f>F331-'Estatística'!$D$6/'Estatística'!$D$10</f>
        <v>31.66698037</v>
      </c>
      <c r="H331" s="23">
        <v>44986.0</v>
      </c>
      <c r="I331" s="24" t="str">
        <f t="shared" si="1"/>
        <v>mar.</v>
      </c>
      <c r="O331" s="8"/>
    </row>
    <row r="332" ht="15.75" customHeight="1">
      <c r="A332" s="9">
        <v>1.0</v>
      </c>
      <c r="B332" s="9" t="s">
        <v>194</v>
      </c>
      <c r="C332" s="9" t="s">
        <v>195</v>
      </c>
      <c r="D332" s="10" t="s">
        <v>11</v>
      </c>
      <c r="E332" s="11" t="s">
        <v>82</v>
      </c>
      <c r="F332" s="12">
        <v>10.51</v>
      </c>
      <c r="G332" s="12">
        <f>F332-'Estatística'!$D$6/'Estatística'!$D$10</f>
        <v>9.506980371</v>
      </c>
      <c r="H332" s="13">
        <v>44986.0</v>
      </c>
      <c r="I332" s="14" t="str">
        <f t="shared" si="1"/>
        <v>mar.</v>
      </c>
      <c r="O332" s="8"/>
    </row>
    <row r="333" ht="15.75" customHeight="1">
      <c r="A333" s="19">
        <v>41.0</v>
      </c>
      <c r="B333" s="19" t="s">
        <v>217</v>
      </c>
      <c r="C333" s="19" t="s">
        <v>218</v>
      </c>
      <c r="D333" s="20" t="s">
        <v>11</v>
      </c>
      <c r="E333" s="21" t="s">
        <v>94</v>
      </c>
      <c r="F333" s="22">
        <v>30.3</v>
      </c>
      <c r="G333" s="22">
        <f>F333-'Estatística'!$D$6/'Estatística'!$D$10</f>
        <v>29.29698037</v>
      </c>
      <c r="H333" s="23">
        <v>44987.0</v>
      </c>
      <c r="I333" s="24" t="str">
        <f t="shared" si="1"/>
        <v>mar.</v>
      </c>
      <c r="O333" s="8"/>
    </row>
    <row r="334" ht="15.75" customHeight="1">
      <c r="A334" s="9">
        <v>7.0</v>
      </c>
      <c r="B334" s="9" t="s">
        <v>114</v>
      </c>
      <c r="C334" s="9" t="s">
        <v>115</v>
      </c>
      <c r="D334" s="10" t="s">
        <v>11</v>
      </c>
      <c r="E334" s="11" t="s">
        <v>68</v>
      </c>
      <c r="F334" s="12">
        <v>8.44</v>
      </c>
      <c r="G334" s="12">
        <f>F334-'Estatística'!$D$6/'Estatística'!$D$10</f>
        <v>7.436980371</v>
      </c>
      <c r="H334" s="13">
        <v>44987.0</v>
      </c>
      <c r="I334" s="14" t="str">
        <f t="shared" si="1"/>
        <v>mar.</v>
      </c>
      <c r="O334" s="8"/>
    </row>
    <row r="335" ht="15.75" customHeight="1">
      <c r="A335" s="19">
        <v>13.0</v>
      </c>
      <c r="B335" s="19" t="s">
        <v>137</v>
      </c>
      <c r="C335" s="19" t="s">
        <v>138</v>
      </c>
      <c r="D335" s="20" t="s">
        <v>30</v>
      </c>
      <c r="E335" s="21" t="s">
        <v>94</v>
      </c>
      <c r="F335" s="22">
        <v>29.99</v>
      </c>
      <c r="G335" s="22">
        <f>F335-'Estatística'!$D$6/'Estatística'!$D$10</f>
        <v>28.98698037</v>
      </c>
      <c r="H335" s="23">
        <v>44988.0</v>
      </c>
      <c r="I335" s="24" t="str">
        <f t="shared" si="1"/>
        <v>mar.</v>
      </c>
      <c r="O335" s="8"/>
    </row>
    <row r="336" ht="15.75" customHeight="1">
      <c r="A336" s="9">
        <v>54.0</v>
      </c>
      <c r="B336" s="9" t="s">
        <v>86</v>
      </c>
      <c r="C336" s="9" t="s">
        <v>87</v>
      </c>
      <c r="D336" s="10" t="s">
        <v>11</v>
      </c>
      <c r="E336" s="11" t="s">
        <v>76</v>
      </c>
      <c r="F336" s="12">
        <v>10.84</v>
      </c>
      <c r="G336" s="12">
        <f>F336-'Estatística'!$D$6/'Estatística'!$D$10</f>
        <v>9.836980371</v>
      </c>
      <c r="H336" s="13">
        <v>44988.0</v>
      </c>
      <c r="I336" s="14" t="str">
        <f t="shared" si="1"/>
        <v>mar.</v>
      </c>
      <c r="O336" s="8"/>
    </row>
    <row r="337" ht="15.75" customHeight="1">
      <c r="A337" s="19">
        <v>24.0</v>
      </c>
      <c r="B337" s="19" t="s">
        <v>139</v>
      </c>
      <c r="C337" s="19" t="s">
        <v>140</v>
      </c>
      <c r="D337" s="20" t="s">
        <v>11</v>
      </c>
      <c r="E337" s="21" t="s">
        <v>50</v>
      </c>
      <c r="F337" s="22">
        <v>25.03</v>
      </c>
      <c r="G337" s="22">
        <f>F337-'Estatística'!$D$6/'Estatística'!$D$10</f>
        <v>24.02698037</v>
      </c>
      <c r="H337" s="23">
        <v>44988.0</v>
      </c>
      <c r="I337" s="24" t="str">
        <f t="shared" si="1"/>
        <v>mar.</v>
      </c>
      <c r="O337" s="8"/>
    </row>
    <row r="338" ht="15.75" customHeight="1">
      <c r="A338" s="9">
        <v>25.0</v>
      </c>
      <c r="B338" s="9" t="s">
        <v>154</v>
      </c>
      <c r="C338" s="9" t="s">
        <v>155</v>
      </c>
      <c r="D338" s="10" t="s">
        <v>30</v>
      </c>
      <c r="E338" s="11" t="s">
        <v>85</v>
      </c>
      <c r="F338" s="12">
        <v>17.03</v>
      </c>
      <c r="G338" s="12">
        <f>F338-'Estatística'!$D$6/'Estatística'!$D$10</f>
        <v>16.02698037</v>
      </c>
      <c r="H338" s="13">
        <v>44988.0</v>
      </c>
      <c r="I338" s="14" t="str">
        <f t="shared" si="1"/>
        <v>mar.</v>
      </c>
      <c r="O338" s="8"/>
    </row>
    <row r="339" ht="15.75" customHeight="1">
      <c r="A339" s="19">
        <v>73.0</v>
      </c>
      <c r="B339" s="19" t="s">
        <v>223</v>
      </c>
      <c r="C339" s="19" t="s">
        <v>224</v>
      </c>
      <c r="D339" s="20" t="s">
        <v>11</v>
      </c>
      <c r="E339" s="21" t="s">
        <v>12</v>
      </c>
      <c r="F339" s="22">
        <v>10.49</v>
      </c>
      <c r="G339" s="22">
        <f>F339-'Estatística'!$D$6/'Estatística'!$D$10</f>
        <v>9.486980371</v>
      </c>
      <c r="H339" s="23">
        <v>44988.0</v>
      </c>
      <c r="I339" s="24" t="str">
        <f t="shared" si="1"/>
        <v>mar.</v>
      </c>
      <c r="O339" s="8"/>
    </row>
    <row r="340" ht="15.75" customHeight="1">
      <c r="A340" s="9">
        <v>71.0</v>
      </c>
      <c r="B340" s="9" t="s">
        <v>150</v>
      </c>
      <c r="C340" s="9" t="s">
        <v>151</v>
      </c>
      <c r="D340" s="10" t="s">
        <v>30</v>
      </c>
      <c r="E340" s="11" t="s">
        <v>85</v>
      </c>
      <c r="F340" s="12">
        <v>15.05</v>
      </c>
      <c r="G340" s="12">
        <f>F340-'Estatística'!$D$6/'Estatística'!$D$10</f>
        <v>14.04698037</v>
      </c>
      <c r="H340" s="13">
        <v>44988.0</v>
      </c>
      <c r="I340" s="14" t="str">
        <f t="shared" si="1"/>
        <v>mar.</v>
      </c>
      <c r="O340" s="8"/>
    </row>
    <row r="341" ht="15.75" customHeight="1">
      <c r="A341" s="19">
        <v>95.0</v>
      </c>
      <c r="B341" s="19" t="s">
        <v>110</v>
      </c>
      <c r="C341" s="19" t="s">
        <v>111</v>
      </c>
      <c r="D341" s="20" t="s">
        <v>11</v>
      </c>
      <c r="E341" s="21" t="s">
        <v>43</v>
      </c>
      <c r="F341" s="22">
        <v>13.45</v>
      </c>
      <c r="G341" s="22">
        <f>F341-'Estatística'!$D$6/'Estatística'!$D$10</f>
        <v>12.44698037</v>
      </c>
      <c r="H341" s="23">
        <v>44988.0</v>
      </c>
      <c r="I341" s="24" t="str">
        <f t="shared" si="1"/>
        <v>mar.</v>
      </c>
      <c r="O341" s="8"/>
    </row>
    <row r="342" ht="15.75" customHeight="1">
      <c r="A342" s="9">
        <v>92.0</v>
      </c>
      <c r="B342" s="9" t="s">
        <v>112</v>
      </c>
      <c r="C342" s="9" t="s">
        <v>197</v>
      </c>
      <c r="D342" s="10" t="s">
        <v>30</v>
      </c>
      <c r="E342" s="11" t="s">
        <v>94</v>
      </c>
      <c r="F342" s="12">
        <v>30.65</v>
      </c>
      <c r="G342" s="12">
        <f>F342-'Estatística'!$D$6/'Estatística'!$D$10</f>
        <v>29.64698037</v>
      </c>
      <c r="H342" s="13">
        <v>44988.0</v>
      </c>
      <c r="I342" s="14" t="str">
        <f t="shared" si="1"/>
        <v>mar.</v>
      </c>
      <c r="O342" s="8"/>
    </row>
    <row r="343" ht="15.75" customHeight="1">
      <c r="A343" s="19">
        <v>33.0</v>
      </c>
      <c r="B343" s="19" t="s">
        <v>191</v>
      </c>
      <c r="C343" s="19" t="s">
        <v>192</v>
      </c>
      <c r="D343" s="20" t="s">
        <v>30</v>
      </c>
      <c r="E343" s="21" t="s">
        <v>82</v>
      </c>
      <c r="F343" s="22">
        <v>11.52</v>
      </c>
      <c r="G343" s="22">
        <f>F343-'Estatística'!$D$6/'Estatística'!$D$10</f>
        <v>10.51698037</v>
      </c>
      <c r="H343" s="23">
        <v>44988.0</v>
      </c>
      <c r="I343" s="24" t="str">
        <f t="shared" si="1"/>
        <v>mar.</v>
      </c>
      <c r="O343" s="8"/>
    </row>
    <row r="344" ht="15.75" customHeight="1">
      <c r="A344" s="9">
        <v>10.0</v>
      </c>
      <c r="B344" s="9" t="s">
        <v>148</v>
      </c>
      <c r="C344" s="9" t="s">
        <v>149</v>
      </c>
      <c r="D344" s="10" t="s">
        <v>11</v>
      </c>
      <c r="E344" s="11" t="s">
        <v>60</v>
      </c>
      <c r="F344" s="12">
        <v>34.95</v>
      </c>
      <c r="G344" s="12">
        <f>F344-'Estatística'!$D$6/'Estatística'!$D$10</f>
        <v>33.94698037</v>
      </c>
      <c r="H344" s="13">
        <v>44988.0</v>
      </c>
      <c r="I344" s="14" t="str">
        <f t="shared" si="1"/>
        <v>mar.</v>
      </c>
      <c r="O344" s="8"/>
    </row>
    <row r="345" ht="15.75" customHeight="1">
      <c r="A345" s="19">
        <v>16.0</v>
      </c>
      <c r="B345" s="19" t="s">
        <v>175</v>
      </c>
      <c r="C345" s="19" t="s">
        <v>176</v>
      </c>
      <c r="D345" s="20" t="s">
        <v>30</v>
      </c>
      <c r="E345" s="21" t="s">
        <v>97</v>
      </c>
      <c r="F345" s="22">
        <v>2.26</v>
      </c>
      <c r="G345" s="22">
        <f>F345-'Estatística'!$D$6/'Estatística'!$D$10</f>
        <v>1.256980371</v>
      </c>
      <c r="H345" s="23">
        <v>44988.0</v>
      </c>
      <c r="I345" s="24" t="str">
        <f t="shared" si="1"/>
        <v>mar.</v>
      </c>
      <c r="O345" s="8"/>
    </row>
    <row r="346" ht="15.75" customHeight="1">
      <c r="A346" s="9">
        <v>29.0</v>
      </c>
      <c r="B346" s="9" t="s">
        <v>122</v>
      </c>
      <c r="C346" s="9" t="s">
        <v>123</v>
      </c>
      <c r="D346" s="10" t="s">
        <v>11</v>
      </c>
      <c r="E346" s="11" t="s">
        <v>97</v>
      </c>
      <c r="F346" s="12">
        <v>5.14</v>
      </c>
      <c r="G346" s="12">
        <f>F346-'Estatística'!$D$6/'Estatística'!$D$10</f>
        <v>4.136980371</v>
      </c>
      <c r="H346" s="13">
        <v>44989.0</v>
      </c>
      <c r="I346" s="14" t="str">
        <f t="shared" si="1"/>
        <v>mar.</v>
      </c>
      <c r="O346" s="8"/>
    </row>
    <row r="347" ht="15.75" customHeight="1">
      <c r="A347" s="19">
        <v>3.0</v>
      </c>
      <c r="B347" s="19" t="s">
        <v>80</v>
      </c>
      <c r="C347" s="19" t="s">
        <v>81</v>
      </c>
      <c r="D347" s="20" t="s">
        <v>11</v>
      </c>
      <c r="E347" s="21" t="s">
        <v>94</v>
      </c>
      <c r="F347" s="22">
        <v>25.68</v>
      </c>
      <c r="G347" s="22">
        <f>F347-'Estatística'!$D$6/'Estatística'!$D$10</f>
        <v>24.67698037</v>
      </c>
      <c r="H347" s="23">
        <v>44989.0</v>
      </c>
      <c r="I347" s="24" t="str">
        <f t="shared" si="1"/>
        <v>mar.</v>
      </c>
      <c r="O347" s="8"/>
    </row>
    <row r="348" ht="15.75" customHeight="1">
      <c r="A348" s="9">
        <v>40.0</v>
      </c>
      <c r="B348" s="9" t="s">
        <v>122</v>
      </c>
      <c r="C348" s="9" t="s">
        <v>185</v>
      </c>
      <c r="D348" s="10" t="s">
        <v>30</v>
      </c>
      <c r="E348" s="11" t="s">
        <v>50</v>
      </c>
      <c r="F348" s="12">
        <v>28.18</v>
      </c>
      <c r="G348" s="12">
        <f>F348-'Estatística'!$D$6/'Estatística'!$D$10</f>
        <v>27.17698037</v>
      </c>
      <c r="H348" s="13">
        <v>44989.0</v>
      </c>
      <c r="I348" s="14" t="str">
        <f t="shared" si="1"/>
        <v>mar.</v>
      </c>
      <c r="O348" s="8"/>
    </row>
    <row r="349" ht="15.75" customHeight="1">
      <c r="A349" s="19">
        <v>18.0</v>
      </c>
      <c r="B349" s="19" t="s">
        <v>163</v>
      </c>
      <c r="C349" s="19" t="s">
        <v>240</v>
      </c>
      <c r="D349" s="20" t="s">
        <v>11</v>
      </c>
      <c r="E349" s="21" t="s">
        <v>56</v>
      </c>
      <c r="F349" s="22">
        <v>71.27</v>
      </c>
      <c r="G349" s="22">
        <f>F349-'Estatística'!$D$6/'Estatística'!$D$10</f>
        <v>70.26698037</v>
      </c>
      <c r="H349" s="23">
        <v>44989.0</v>
      </c>
      <c r="I349" s="24" t="str">
        <f t="shared" si="1"/>
        <v>mar.</v>
      </c>
      <c r="O349" s="8"/>
    </row>
    <row r="350" ht="15.75" customHeight="1">
      <c r="A350" s="9">
        <v>41.0</v>
      </c>
      <c r="B350" s="9" t="s">
        <v>217</v>
      </c>
      <c r="C350" s="9" t="s">
        <v>218</v>
      </c>
      <c r="D350" s="10" t="s">
        <v>30</v>
      </c>
      <c r="E350" s="11" t="s">
        <v>72</v>
      </c>
      <c r="F350" s="12">
        <v>18.35</v>
      </c>
      <c r="G350" s="12">
        <f>F350-'Estatística'!$D$6/'Estatística'!$D$10</f>
        <v>17.34698037</v>
      </c>
      <c r="H350" s="13">
        <v>44989.0</v>
      </c>
      <c r="I350" s="14" t="str">
        <f t="shared" si="1"/>
        <v>mar.</v>
      </c>
      <c r="O350" s="8"/>
    </row>
    <row r="351" ht="15.75" customHeight="1">
      <c r="A351" s="19">
        <v>56.0</v>
      </c>
      <c r="B351" s="19" t="s">
        <v>127</v>
      </c>
      <c r="C351" s="19" t="s">
        <v>128</v>
      </c>
      <c r="D351" s="20" t="s">
        <v>11</v>
      </c>
      <c r="E351" s="21" t="s">
        <v>72</v>
      </c>
      <c r="F351" s="22">
        <v>18.36</v>
      </c>
      <c r="G351" s="22">
        <f>F351-'Estatística'!$D$6/'Estatística'!$D$10</f>
        <v>17.35698037</v>
      </c>
      <c r="H351" s="23">
        <v>44989.0</v>
      </c>
      <c r="I351" s="24" t="str">
        <f t="shared" si="1"/>
        <v>mar.</v>
      </c>
      <c r="O351" s="8"/>
    </row>
    <row r="352" ht="15.75" customHeight="1">
      <c r="A352" s="9">
        <v>79.0</v>
      </c>
      <c r="B352" s="9" t="s">
        <v>101</v>
      </c>
      <c r="C352" s="9" t="s">
        <v>102</v>
      </c>
      <c r="D352" s="10" t="s">
        <v>11</v>
      </c>
      <c r="E352" s="11" t="s">
        <v>12</v>
      </c>
      <c r="F352" s="12">
        <v>10.71</v>
      </c>
      <c r="G352" s="12">
        <f>F352-'Estatística'!$D$6/'Estatística'!$D$10</f>
        <v>9.706980371</v>
      </c>
      <c r="H352" s="13">
        <v>44990.0</v>
      </c>
      <c r="I352" s="14" t="str">
        <f t="shared" si="1"/>
        <v>mar.</v>
      </c>
      <c r="O352" s="8"/>
    </row>
    <row r="353" ht="15.75" customHeight="1">
      <c r="A353" s="19">
        <v>50.0</v>
      </c>
      <c r="B353" s="19" t="s">
        <v>33</v>
      </c>
      <c r="C353" s="19" t="s">
        <v>34</v>
      </c>
      <c r="D353" s="20" t="s">
        <v>11</v>
      </c>
      <c r="E353" s="21" t="s">
        <v>56</v>
      </c>
      <c r="F353" s="22">
        <v>80.28</v>
      </c>
      <c r="G353" s="22">
        <f>F353-'Estatística'!$D$6/'Estatística'!$D$10</f>
        <v>79.27698037</v>
      </c>
      <c r="H353" s="23">
        <v>44990.0</v>
      </c>
      <c r="I353" s="24" t="str">
        <f t="shared" si="1"/>
        <v>mar.</v>
      </c>
      <c r="O353" s="8"/>
    </row>
    <row r="354" ht="15.75" customHeight="1">
      <c r="A354" s="9">
        <v>10.0</v>
      </c>
      <c r="B354" s="9" t="s">
        <v>148</v>
      </c>
      <c r="C354" s="9" t="s">
        <v>149</v>
      </c>
      <c r="D354" s="10" t="s">
        <v>11</v>
      </c>
      <c r="E354" s="11" t="s">
        <v>35</v>
      </c>
      <c r="F354" s="12">
        <v>16.88</v>
      </c>
      <c r="G354" s="12">
        <f>F354-'Estatística'!$D$6/'Estatística'!$D$10</f>
        <v>15.87698037</v>
      </c>
      <c r="H354" s="13">
        <v>44990.0</v>
      </c>
      <c r="I354" s="14" t="str">
        <f t="shared" si="1"/>
        <v>mar.</v>
      </c>
      <c r="O354" s="8"/>
    </row>
    <row r="355" ht="15.75" customHeight="1">
      <c r="A355" s="19">
        <v>23.0</v>
      </c>
      <c r="B355" s="19" t="s">
        <v>235</v>
      </c>
      <c r="C355" s="19" t="s">
        <v>236</v>
      </c>
      <c r="D355" s="20" t="s">
        <v>11</v>
      </c>
      <c r="E355" s="21" t="s">
        <v>88</v>
      </c>
      <c r="F355" s="22">
        <v>41.99</v>
      </c>
      <c r="G355" s="22">
        <f>F355-'Estatística'!$D$6/'Estatística'!$D$10</f>
        <v>40.98698037</v>
      </c>
      <c r="H355" s="23">
        <v>44990.0</v>
      </c>
      <c r="I355" s="24" t="str">
        <f t="shared" si="1"/>
        <v>mar.</v>
      </c>
      <c r="O355" s="8"/>
    </row>
    <row r="356" ht="15.75" customHeight="1">
      <c r="A356" s="9">
        <v>18.0</v>
      </c>
      <c r="B356" s="9" t="s">
        <v>163</v>
      </c>
      <c r="C356" s="9" t="s">
        <v>240</v>
      </c>
      <c r="D356" s="10" t="s">
        <v>30</v>
      </c>
      <c r="E356" s="11" t="s">
        <v>79</v>
      </c>
      <c r="F356" s="12">
        <v>38.76</v>
      </c>
      <c r="G356" s="12">
        <f>F356-'Estatística'!$D$6/'Estatística'!$D$10</f>
        <v>37.75698037</v>
      </c>
      <c r="H356" s="13">
        <v>44991.0</v>
      </c>
      <c r="I356" s="14" t="str">
        <f t="shared" si="1"/>
        <v>mar.</v>
      </c>
      <c r="O356" s="8"/>
    </row>
    <row r="357" ht="15.75" customHeight="1">
      <c r="A357" s="19">
        <v>20.0</v>
      </c>
      <c r="B357" s="19" t="s">
        <v>161</v>
      </c>
      <c r="C357" s="19" t="s">
        <v>162</v>
      </c>
      <c r="D357" s="20" t="s">
        <v>30</v>
      </c>
      <c r="E357" s="21" t="s">
        <v>12</v>
      </c>
      <c r="F357" s="22">
        <v>10.19</v>
      </c>
      <c r="G357" s="22">
        <f>F357-'Estatística'!$D$6/'Estatística'!$D$10</f>
        <v>9.186980371</v>
      </c>
      <c r="H357" s="23">
        <v>44991.0</v>
      </c>
      <c r="I357" s="24" t="str">
        <f t="shared" si="1"/>
        <v>mar.</v>
      </c>
      <c r="O357" s="8"/>
    </row>
    <row r="358" ht="15.75" customHeight="1">
      <c r="A358" s="9">
        <v>29.0</v>
      </c>
      <c r="B358" s="9" t="s">
        <v>122</v>
      </c>
      <c r="C358" s="9" t="s">
        <v>123</v>
      </c>
      <c r="D358" s="10" t="s">
        <v>11</v>
      </c>
      <c r="E358" s="11" t="s">
        <v>88</v>
      </c>
      <c r="F358" s="12">
        <v>38.14</v>
      </c>
      <c r="G358" s="12">
        <f>F358-'Estatística'!$D$6/'Estatística'!$D$10</f>
        <v>37.13698037</v>
      </c>
      <c r="H358" s="13">
        <v>44992.0</v>
      </c>
      <c r="I358" s="14" t="str">
        <f t="shared" si="1"/>
        <v>mar.</v>
      </c>
      <c r="O358" s="8"/>
    </row>
    <row r="359" ht="15.75" customHeight="1">
      <c r="A359" s="19">
        <v>24.0</v>
      </c>
      <c r="B359" s="19" t="s">
        <v>139</v>
      </c>
      <c r="C359" s="19" t="s">
        <v>140</v>
      </c>
      <c r="D359" s="20" t="s">
        <v>11</v>
      </c>
      <c r="E359" s="21" t="s">
        <v>43</v>
      </c>
      <c r="F359" s="22">
        <v>19.19</v>
      </c>
      <c r="G359" s="22">
        <f>F359-'Estatística'!$D$6/'Estatística'!$D$10</f>
        <v>18.18698037</v>
      </c>
      <c r="H359" s="23">
        <v>44992.0</v>
      </c>
      <c r="I359" s="24" t="str">
        <f t="shared" si="1"/>
        <v>mar.</v>
      </c>
      <c r="O359" s="8"/>
    </row>
    <row r="360" ht="15.75" customHeight="1">
      <c r="A360" s="9">
        <v>1.0</v>
      </c>
      <c r="B360" s="9" t="s">
        <v>194</v>
      </c>
      <c r="C360" s="9" t="s">
        <v>195</v>
      </c>
      <c r="D360" s="10" t="s">
        <v>11</v>
      </c>
      <c r="E360" s="11" t="s">
        <v>43</v>
      </c>
      <c r="F360" s="12">
        <v>18.4</v>
      </c>
      <c r="G360" s="12">
        <f>F360-'Estatística'!$D$6/'Estatística'!$D$10</f>
        <v>17.39698037</v>
      </c>
      <c r="H360" s="13">
        <v>44992.0</v>
      </c>
      <c r="I360" s="14" t="str">
        <f t="shared" si="1"/>
        <v>mar.</v>
      </c>
      <c r="O360" s="8"/>
    </row>
    <row r="361" ht="15.75" customHeight="1">
      <c r="A361" s="19">
        <v>57.0</v>
      </c>
      <c r="B361" s="19" t="s">
        <v>92</v>
      </c>
      <c r="C361" s="19" t="s">
        <v>190</v>
      </c>
      <c r="D361" s="20" t="s">
        <v>30</v>
      </c>
      <c r="E361" s="21" t="s">
        <v>12</v>
      </c>
      <c r="F361" s="22">
        <v>10.46</v>
      </c>
      <c r="G361" s="22">
        <f>F361-'Estatística'!$D$6/'Estatística'!$D$10</f>
        <v>9.456980371</v>
      </c>
      <c r="H361" s="23">
        <v>44992.0</v>
      </c>
      <c r="I361" s="24" t="str">
        <f t="shared" si="1"/>
        <v>mar.</v>
      </c>
      <c r="O361" s="8"/>
    </row>
    <row r="362" ht="15.75" customHeight="1">
      <c r="A362" s="9">
        <v>89.0</v>
      </c>
      <c r="B362" s="9" t="s">
        <v>135</v>
      </c>
      <c r="C362" s="9" t="s">
        <v>136</v>
      </c>
      <c r="D362" s="10" t="s">
        <v>30</v>
      </c>
      <c r="E362" s="11" t="s">
        <v>31</v>
      </c>
      <c r="F362" s="12">
        <v>40.02</v>
      </c>
      <c r="G362" s="12">
        <f>F362-'Estatística'!$D$6/'Estatística'!$D$10</f>
        <v>39.01698037</v>
      </c>
      <c r="H362" s="13">
        <v>44992.0</v>
      </c>
      <c r="I362" s="14" t="str">
        <f t="shared" si="1"/>
        <v>mar.</v>
      </c>
      <c r="O362" s="8"/>
    </row>
    <row r="363" ht="15.75" customHeight="1">
      <c r="A363" s="19">
        <v>87.0</v>
      </c>
      <c r="B363" s="19" t="s">
        <v>243</v>
      </c>
      <c r="C363" s="19" t="s">
        <v>244</v>
      </c>
      <c r="D363" s="20" t="s">
        <v>30</v>
      </c>
      <c r="E363" s="21" t="s">
        <v>94</v>
      </c>
      <c r="F363" s="22">
        <v>28.48</v>
      </c>
      <c r="G363" s="22">
        <f>F363-'Estatística'!$D$6/'Estatística'!$D$10</f>
        <v>27.47698037</v>
      </c>
      <c r="H363" s="23">
        <v>44992.0</v>
      </c>
      <c r="I363" s="24" t="str">
        <f t="shared" si="1"/>
        <v>mar.</v>
      </c>
      <c r="O363" s="8"/>
    </row>
    <row r="364" ht="15.75" customHeight="1">
      <c r="A364" s="9">
        <v>12.0</v>
      </c>
      <c r="B364" s="9" t="s">
        <v>188</v>
      </c>
      <c r="C364" s="9" t="s">
        <v>189</v>
      </c>
      <c r="D364" s="10" t="s">
        <v>11</v>
      </c>
      <c r="E364" s="11" t="s">
        <v>94</v>
      </c>
      <c r="F364" s="12">
        <v>30.78</v>
      </c>
      <c r="G364" s="12">
        <f>F364-'Estatística'!$D$6/'Estatística'!$D$10</f>
        <v>29.77698037</v>
      </c>
      <c r="H364" s="13">
        <v>44992.0</v>
      </c>
      <c r="I364" s="14" t="str">
        <f t="shared" si="1"/>
        <v>mar.</v>
      </c>
      <c r="O364" s="8"/>
    </row>
    <row r="365" ht="15.75" customHeight="1">
      <c r="A365" s="19">
        <v>75.0</v>
      </c>
      <c r="B365" s="19" t="s">
        <v>238</v>
      </c>
      <c r="C365" s="19" t="s">
        <v>239</v>
      </c>
      <c r="D365" s="20" t="s">
        <v>30</v>
      </c>
      <c r="E365" s="21" t="s">
        <v>46</v>
      </c>
      <c r="F365" s="22">
        <v>14.52</v>
      </c>
      <c r="G365" s="22">
        <f>F365-'Estatística'!$D$6/'Estatística'!$D$10</f>
        <v>13.51698037</v>
      </c>
      <c r="H365" s="23">
        <v>44992.0</v>
      </c>
      <c r="I365" s="24" t="str">
        <f t="shared" si="1"/>
        <v>mar.</v>
      </c>
      <c r="O365" s="8"/>
    </row>
    <row r="366" ht="15.75" customHeight="1">
      <c r="A366" s="9">
        <v>52.0</v>
      </c>
      <c r="B366" s="9" t="s">
        <v>181</v>
      </c>
      <c r="C366" s="9" t="s">
        <v>182</v>
      </c>
      <c r="D366" s="10" t="s">
        <v>11</v>
      </c>
      <c r="E366" s="11" t="s">
        <v>52</v>
      </c>
      <c r="F366" s="12">
        <v>69.63</v>
      </c>
      <c r="G366" s="12">
        <f>F366-'Estatística'!$D$6/'Estatística'!$D$10</f>
        <v>68.62698037</v>
      </c>
      <c r="H366" s="13">
        <v>44993.0</v>
      </c>
      <c r="I366" s="14" t="str">
        <f t="shared" si="1"/>
        <v>mar.</v>
      </c>
      <c r="O366" s="8"/>
    </row>
    <row r="367" ht="15.75" customHeight="1">
      <c r="A367" s="19">
        <v>36.0</v>
      </c>
      <c r="B367" s="19" t="s">
        <v>92</v>
      </c>
      <c r="C367" s="19" t="s">
        <v>93</v>
      </c>
      <c r="D367" s="20" t="s">
        <v>30</v>
      </c>
      <c r="E367" s="21" t="s">
        <v>52</v>
      </c>
      <c r="F367" s="22">
        <v>47.64</v>
      </c>
      <c r="G367" s="22">
        <f>F367-'Estatística'!$D$6/'Estatística'!$D$10</f>
        <v>46.63698037</v>
      </c>
      <c r="H367" s="23">
        <v>44993.0</v>
      </c>
      <c r="I367" s="24" t="str">
        <f t="shared" si="1"/>
        <v>mar.</v>
      </c>
      <c r="O367" s="8"/>
    </row>
    <row r="368" ht="15.75" customHeight="1">
      <c r="A368" s="9">
        <v>78.0</v>
      </c>
      <c r="B368" s="9" t="s">
        <v>28</v>
      </c>
      <c r="C368" s="9" t="s">
        <v>29</v>
      </c>
      <c r="D368" s="10" t="s">
        <v>11</v>
      </c>
      <c r="E368" s="11" t="s">
        <v>82</v>
      </c>
      <c r="F368" s="12">
        <v>14.35</v>
      </c>
      <c r="G368" s="12">
        <f>F368-'Estatística'!$D$6/'Estatística'!$D$10</f>
        <v>13.34698037</v>
      </c>
      <c r="H368" s="13">
        <v>44993.0</v>
      </c>
      <c r="I368" s="14" t="str">
        <f t="shared" si="1"/>
        <v>mar.</v>
      </c>
      <c r="O368" s="8"/>
    </row>
    <row r="369" ht="15.75" customHeight="1">
      <c r="A369" s="19">
        <v>35.0</v>
      </c>
      <c r="B369" s="19" t="s">
        <v>125</v>
      </c>
      <c r="C369" s="19" t="s">
        <v>126</v>
      </c>
      <c r="D369" s="20" t="s">
        <v>11</v>
      </c>
      <c r="E369" s="21" t="s">
        <v>52</v>
      </c>
      <c r="F369" s="22">
        <v>57.77</v>
      </c>
      <c r="G369" s="22">
        <f>F369-'Estatística'!$D$6/'Estatística'!$D$10</f>
        <v>56.76698037</v>
      </c>
      <c r="H369" s="23">
        <v>44993.0</v>
      </c>
      <c r="I369" s="24" t="str">
        <f t="shared" si="1"/>
        <v>mar.</v>
      </c>
      <c r="O369" s="8"/>
    </row>
    <row r="370" ht="15.75" customHeight="1">
      <c r="A370" s="9">
        <v>72.0</v>
      </c>
      <c r="B370" s="9" t="s">
        <v>133</v>
      </c>
      <c r="C370" s="9" t="s">
        <v>134</v>
      </c>
      <c r="D370" s="10" t="s">
        <v>11</v>
      </c>
      <c r="E370" s="11" t="s">
        <v>94</v>
      </c>
      <c r="F370" s="12">
        <v>30.84</v>
      </c>
      <c r="G370" s="12">
        <f>F370-'Estatística'!$D$6/'Estatística'!$D$10</f>
        <v>29.83698037</v>
      </c>
      <c r="H370" s="13">
        <v>44994.0</v>
      </c>
      <c r="I370" s="14" t="str">
        <f t="shared" si="1"/>
        <v>mar.</v>
      </c>
      <c r="O370" s="8"/>
    </row>
    <row r="371" ht="15.75" customHeight="1">
      <c r="A371" s="19">
        <v>5.0</v>
      </c>
      <c r="B371" s="19" t="s">
        <v>167</v>
      </c>
      <c r="C371" s="19" t="s">
        <v>168</v>
      </c>
      <c r="D371" s="20" t="s">
        <v>30</v>
      </c>
      <c r="E371" s="21" t="s">
        <v>43</v>
      </c>
      <c r="F371" s="22">
        <v>17.25</v>
      </c>
      <c r="G371" s="22">
        <f>F371-'Estatística'!$D$6/'Estatística'!$D$10</f>
        <v>16.24698037</v>
      </c>
      <c r="H371" s="23">
        <v>44994.0</v>
      </c>
      <c r="I371" s="24" t="str">
        <f t="shared" si="1"/>
        <v>mar.</v>
      </c>
      <c r="O371" s="8"/>
    </row>
    <row r="372" ht="15.75" customHeight="1">
      <c r="A372" s="9">
        <v>66.0</v>
      </c>
      <c r="B372" s="9" t="s">
        <v>150</v>
      </c>
      <c r="C372" s="9" t="s">
        <v>158</v>
      </c>
      <c r="D372" s="10" t="s">
        <v>11</v>
      </c>
      <c r="E372" s="11" t="s">
        <v>88</v>
      </c>
      <c r="F372" s="12">
        <v>37.49</v>
      </c>
      <c r="G372" s="12">
        <f>F372-'Estatística'!$D$6/'Estatística'!$D$10</f>
        <v>36.48698037</v>
      </c>
      <c r="H372" s="13">
        <v>44994.0</v>
      </c>
      <c r="I372" s="14" t="str">
        <f t="shared" si="1"/>
        <v>mar.</v>
      </c>
      <c r="O372" s="8"/>
    </row>
    <row r="373" ht="15.75" customHeight="1">
      <c r="A373" s="19">
        <v>28.0</v>
      </c>
      <c r="B373" s="19" t="s">
        <v>77</v>
      </c>
      <c r="C373" s="19" t="s">
        <v>78</v>
      </c>
      <c r="D373" s="20" t="s">
        <v>11</v>
      </c>
      <c r="E373" s="21" t="s">
        <v>85</v>
      </c>
      <c r="F373" s="22">
        <v>12.41</v>
      </c>
      <c r="G373" s="22">
        <f>F373-'Estatística'!$D$6/'Estatística'!$D$10</f>
        <v>11.40698037</v>
      </c>
      <c r="H373" s="23">
        <v>44995.0</v>
      </c>
      <c r="I373" s="24" t="str">
        <f t="shared" si="1"/>
        <v>mar.</v>
      </c>
      <c r="O373" s="8"/>
    </row>
    <row r="374" ht="15.75" customHeight="1">
      <c r="A374" s="9">
        <v>76.0</v>
      </c>
      <c r="B374" s="9" t="s">
        <v>213</v>
      </c>
      <c r="C374" s="9" t="s">
        <v>214</v>
      </c>
      <c r="D374" s="10" t="s">
        <v>11</v>
      </c>
      <c r="E374" s="11" t="s">
        <v>72</v>
      </c>
      <c r="F374" s="12">
        <v>20.58</v>
      </c>
      <c r="G374" s="12">
        <f>F374-'Estatística'!$D$6/'Estatística'!$D$10</f>
        <v>19.57698037</v>
      </c>
      <c r="H374" s="13">
        <v>44995.0</v>
      </c>
      <c r="I374" s="14" t="str">
        <f t="shared" si="1"/>
        <v>mar.</v>
      </c>
      <c r="O374" s="8"/>
    </row>
    <row r="375" ht="15.75" customHeight="1">
      <c r="A375" s="19">
        <v>4.0</v>
      </c>
      <c r="B375" s="19" t="s">
        <v>118</v>
      </c>
      <c r="C375" s="19" t="s">
        <v>119</v>
      </c>
      <c r="D375" s="20" t="s">
        <v>30</v>
      </c>
      <c r="E375" s="21" t="s">
        <v>68</v>
      </c>
      <c r="F375" s="22">
        <v>8.74</v>
      </c>
      <c r="G375" s="22">
        <f>F375-'Estatística'!$D$6/'Estatística'!$D$10</f>
        <v>7.736980371</v>
      </c>
      <c r="H375" s="23">
        <v>44995.0</v>
      </c>
      <c r="I375" s="24" t="str">
        <f t="shared" si="1"/>
        <v>mar.</v>
      </c>
      <c r="O375" s="8"/>
    </row>
    <row r="376" ht="15.75" customHeight="1">
      <c r="A376" s="9">
        <v>43.0</v>
      </c>
      <c r="B376" s="9" t="s">
        <v>95</v>
      </c>
      <c r="C376" s="9" t="s">
        <v>96</v>
      </c>
      <c r="D376" s="10" t="s">
        <v>11</v>
      </c>
      <c r="E376" s="11" t="s">
        <v>50</v>
      </c>
      <c r="F376" s="12">
        <v>29.81</v>
      </c>
      <c r="G376" s="12">
        <f>F376-'Estatística'!$D$6/'Estatística'!$D$10</f>
        <v>28.80698037</v>
      </c>
      <c r="H376" s="13">
        <v>44995.0</v>
      </c>
      <c r="I376" s="14" t="str">
        <f t="shared" si="1"/>
        <v>mar.</v>
      </c>
      <c r="O376" s="8"/>
    </row>
    <row r="377" ht="15.75" customHeight="1">
      <c r="A377" s="19">
        <v>64.0</v>
      </c>
      <c r="B377" s="19" t="s">
        <v>159</v>
      </c>
      <c r="C377" s="19" t="s">
        <v>160</v>
      </c>
      <c r="D377" s="20" t="s">
        <v>11</v>
      </c>
      <c r="E377" s="21" t="s">
        <v>82</v>
      </c>
      <c r="F377" s="22">
        <v>12.35</v>
      </c>
      <c r="G377" s="22">
        <f>F377-'Estatística'!$D$6/'Estatística'!$D$10</f>
        <v>11.34698037</v>
      </c>
      <c r="H377" s="23">
        <v>44995.0</v>
      </c>
      <c r="I377" s="24" t="str">
        <f t="shared" si="1"/>
        <v>mar.</v>
      </c>
      <c r="O377" s="8"/>
    </row>
    <row r="378" ht="15.75" customHeight="1">
      <c r="A378" s="9">
        <v>32.0</v>
      </c>
      <c r="B378" s="9" t="s">
        <v>146</v>
      </c>
      <c r="C378" s="9" t="s">
        <v>147</v>
      </c>
      <c r="D378" s="10" t="s">
        <v>30</v>
      </c>
      <c r="E378" s="11" t="s">
        <v>76</v>
      </c>
      <c r="F378" s="12">
        <v>11.76</v>
      </c>
      <c r="G378" s="12">
        <f>F378-'Estatística'!$D$6/'Estatística'!$D$10</f>
        <v>10.75698037</v>
      </c>
      <c r="H378" s="13">
        <v>44995.0</v>
      </c>
      <c r="I378" s="14" t="str">
        <f t="shared" si="1"/>
        <v>mar.</v>
      </c>
      <c r="O378" s="8"/>
    </row>
    <row r="379" ht="15.75" customHeight="1">
      <c r="A379" s="19">
        <v>97.0</v>
      </c>
      <c r="B379" s="19" t="s">
        <v>69</v>
      </c>
      <c r="C379" s="19" t="s">
        <v>70</v>
      </c>
      <c r="D379" s="20" t="s">
        <v>11</v>
      </c>
      <c r="E379" s="21" t="s">
        <v>31</v>
      </c>
      <c r="F379" s="22">
        <v>49.11</v>
      </c>
      <c r="G379" s="22">
        <f>F379-'Estatística'!$D$6/'Estatística'!$D$10</f>
        <v>48.10698037</v>
      </c>
      <c r="H379" s="23">
        <v>44995.0</v>
      </c>
      <c r="I379" s="24" t="str">
        <f t="shared" si="1"/>
        <v>mar.</v>
      </c>
      <c r="O379" s="8"/>
    </row>
    <row r="380" ht="15.75" customHeight="1">
      <c r="A380" s="9">
        <v>88.0</v>
      </c>
      <c r="B380" s="9" t="s">
        <v>200</v>
      </c>
      <c r="C380" s="9" t="s">
        <v>206</v>
      </c>
      <c r="D380" s="10" t="s">
        <v>11</v>
      </c>
      <c r="E380" s="11" t="s">
        <v>50</v>
      </c>
      <c r="F380" s="12">
        <v>30.78</v>
      </c>
      <c r="G380" s="12">
        <f>F380-'Estatística'!$D$6/'Estatística'!$D$10</f>
        <v>29.77698037</v>
      </c>
      <c r="H380" s="13">
        <v>44996.0</v>
      </c>
      <c r="I380" s="14" t="str">
        <f t="shared" si="1"/>
        <v>mar.</v>
      </c>
      <c r="O380" s="8"/>
    </row>
    <row r="381" ht="15.75" customHeight="1">
      <c r="A381" s="19">
        <v>81.0</v>
      </c>
      <c r="B381" s="19" t="s">
        <v>54</v>
      </c>
      <c r="C381" s="19" t="s">
        <v>55</v>
      </c>
      <c r="D381" s="20" t="s">
        <v>30</v>
      </c>
      <c r="E381" s="21" t="s">
        <v>72</v>
      </c>
      <c r="F381" s="22">
        <v>18.53</v>
      </c>
      <c r="G381" s="22">
        <f>F381-'Estatística'!$D$6/'Estatística'!$D$10</f>
        <v>17.52698037</v>
      </c>
      <c r="H381" s="23">
        <v>44997.0</v>
      </c>
      <c r="I381" s="24" t="str">
        <f t="shared" si="1"/>
        <v>mar.</v>
      </c>
      <c r="O381" s="8"/>
    </row>
    <row r="382" ht="15.75" customHeight="1">
      <c r="A382" s="9">
        <v>42.0</v>
      </c>
      <c r="B382" s="9" t="s">
        <v>92</v>
      </c>
      <c r="C382" s="9" t="s">
        <v>170</v>
      </c>
      <c r="D382" s="10" t="s">
        <v>11</v>
      </c>
      <c r="E382" s="11" t="s">
        <v>35</v>
      </c>
      <c r="F382" s="12">
        <v>13.74</v>
      </c>
      <c r="G382" s="12">
        <f>F382-'Estatística'!$D$6/'Estatística'!$D$10</f>
        <v>12.73698037</v>
      </c>
      <c r="H382" s="13">
        <v>44997.0</v>
      </c>
      <c r="I382" s="14" t="str">
        <f t="shared" si="1"/>
        <v>mar.</v>
      </c>
      <c r="O382" s="8"/>
    </row>
    <row r="383" ht="15.75" customHeight="1">
      <c r="A383" s="19">
        <v>39.0</v>
      </c>
      <c r="B383" s="19" t="s">
        <v>89</v>
      </c>
      <c r="C383" s="19" t="s">
        <v>90</v>
      </c>
      <c r="D383" s="20" t="s">
        <v>30</v>
      </c>
      <c r="E383" s="21" t="s">
        <v>68</v>
      </c>
      <c r="F383" s="22">
        <v>12.18</v>
      </c>
      <c r="G383" s="22">
        <f>F383-'Estatística'!$D$6/'Estatística'!$D$10</f>
        <v>11.17698037</v>
      </c>
      <c r="H383" s="23">
        <v>44997.0</v>
      </c>
      <c r="I383" s="24" t="str">
        <f t="shared" si="1"/>
        <v>mar.</v>
      </c>
      <c r="O383" s="8"/>
    </row>
    <row r="384" ht="15.75" customHeight="1">
      <c r="A384" s="9">
        <v>61.0</v>
      </c>
      <c r="B384" s="9" t="s">
        <v>106</v>
      </c>
      <c r="C384" s="9" t="s">
        <v>107</v>
      </c>
      <c r="D384" s="10" t="s">
        <v>11</v>
      </c>
      <c r="E384" s="11" t="s">
        <v>50</v>
      </c>
      <c r="F384" s="12">
        <v>22.05</v>
      </c>
      <c r="G384" s="12">
        <f>F384-'Estatística'!$D$6/'Estatística'!$D$10</f>
        <v>21.04698037</v>
      </c>
      <c r="H384" s="13">
        <v>44997.0</v>
      </c>
      <c r="I384" s="14" t="str">
        <f t="shared" si="1"/>
        <v>mar.</v>
      </c>
      <c r="O384" s="8"/>
    </row>
    <row r="385" ht="15.75" customHeight="1">
      <c r="A385" s="19">
        <v>1.0</v>
      </c>
      <c r="B385" s="19" t="s">
        <v>194</v>
      </c>
      <c r="C385" s="19" t="s">
        <v>195</v>
      </c>
      <c r="D385" s="20" t="s">
        <v>11</v>
      </c>
      <c r="E385" s="21" t="s">
        <v>72</v>
      </c>
      <c r="F385" s="22">
        <v>15.9</v>
      </c>
      <c r="G385" s="22">
        <f>F385-'Estatística'!$D$6/'Estatística'!$D$10</f>
        <v>14.89698037</v>
      </c>
      <c r="H385" s="23">
        <v>44998.0</v>
      </c>
      <c r="I385" s="24" t="str">
        <f t="shared" si="1"/>
        <v>mar.</v>
      </c>
      <c r="O385" s="8"/>
    </row>
    <row r="386" ht="15.75" customHeight="1">
      <c r="A386" s="9">
        <v>37.0</v>
      </c>
      <c r="B386" s="9" t="s">
        <v>245</v>
      </c>
      <c r="C386" s="9" t="s">
        <v>246</v>
      </c>
      <c r="D386" s="10" t="s">
        <v>11</v>
      </c>
      <c r="E386" s="11" t="s">
        <v>50</v>
      </c>
      <c r="F386" s="12">
        <v>24.74</v>
      </c>
      <c r="G386" s="12">
        <f>F386-'Estatística'!$D$6/'Estatística'!$D$10</f>
        <v>23.73698037</v>
      </c>
      <c r="H386" s="13">
        <v>44998.0</v>
      </c>
      <c r="I386" s="14" t="str">
        <f t="shared" si="1"/>
        <v>mar.</v>
      </c>
      <c r="O386" s="8"/>
    </row>
    <row r="387" ht="15.75" customHeight="1">
      <c r="A387" s="19">
        <v>65.0</v>
      </c>
      <c r="B387" s="19" t="s">
        <v>209</v>
      </c>
      <c r="C387" s="19" t="s">
        <v>210</v>
      </c>
      <c r="D387" s="20" t="s">
        <v>11</v>
      </c>
      <c r="E387" s="21" t="s">
        <v>60</v>
      </c>
      <c r="F387" s="22">
        <v>40.39</v>
      </c>
      <c r="G387" s="22">
        <f>F387-'Estatística'!$D$6/'Estatística'!$D$10</f>
        <v>39.38698037</v>
      </c>
      <c r="H387" s="23">
        <v>44998.0</v>
      </c>
      <c r="I387" s="24" t="str">
        <f t="shared" si="1"/>
        <v>mar.</v>
      </c>
      <c r="O387" s="8"/>
    </row>
    <row r="388" ht="15.75" customHeight="1">
      <c r="A388" s="9">
        <v>52.0</v>
      </c>
      <c r="B388" s="9" t="s">
        <v>181</v>
      </c>
      <c r="C388" s="9" t="s">
        <v>182</v>
      </c>
      <c r="D388" s="10" t="s">
        <v>30</v>
      </c>
      <c r="E388" s="11" t="s">
        <v>79</v>
      </c>
      <c r="F388" s="12">
        <v>36.61</v>
      </c>
      <c r="G388" s="12">
        <f>F388-'Estatística'!$D$6/'Estatística'!$D$10</f>
        <v>35.60698037</v>
      </c>
      <c r="H388" s="13">
        <v>44998.0</v>
      </c>
      <c r="I388" s="14" t="str">
        <f t="shared" si="1"/>
        <v>mar.</v>
      </c>
      <c r="O388" s="8"/>
    </row>
    <row r="389" ht="15.75" customHeight="1">
      <c r="A389" s="19">
        <v>22.0</v>
      </c>
      <c r="B389" s="19" t="s">
        <v>131</v>
      </c>
      <c r="C389" s="19" t="s">
        <v>132</v>
      </c>
      <c r="D389" s="20" t="s">
        <v>30</v>
      </c>
      <c r="E389" s="21" t="s">
        <v>31</v>
      </c>
      <c r="F389" s="22">
        <v>39.62</v>
      </c>
      <c r="G389" s="22">
        <f>F389-'Estatística'!$D$6/'Estatística'!$D$10</f>
        <v>38.61698037</v>
      </c>
      <c r="H389" s="23">
        <v>44998.0</v>
      </c>
      <c r="I389" s="24" t="str">
        <f t="shared" si="1"/>
        <v>mar.</v>
      </c>
      <c r="O389" s="8"/>
    </row>
    <row r="390" ht="15.75" customHeight="1">
      <c r="A390" s="9">
        <v>65.0</v>
      </c>
      <c r="B390" s="9" t="s">
        <v>209</v>
      </c>
      <c r="C390" s="9" t="s">
        <v>210</v>
      </c>
      <c r="D390" s="10" t="s">
        <v>30</v>
      </c>
      <c r="E390" s="11" t="s">
        <v>97</v>
      </c>
      <c r="F390" s="12">
        <v>4.83</v>
      </c>
      <c r="G390" s="12">
        <f>F390-'Estatística'!$D$6/'Estatística'!$D$10</f>
        <v>3.826980371</v>
      </c>
      <c r="H390" s="13">
        <v>44999.0</v>
      </c>
      <c r="I390" s="14" t="str">
        <f t="shared" si="1"/>
        <v>mar.</v>
      </c>
      <c r="O390" s="8"/>
    </row>
    <row r="391" ht="15.75" customHeight="1">
      <c r="A391" s="19">
        <v>46.0</v>
      </c>
      <c r="B391" s="19" t="s">
        <v>143</v>
      </c>
      <c r="C391" s="19" t="s">
        <v>144</v>
      </c>
      <c r="D391" s="20" t="s">
        <v>30</v>
      </c>
      <c r="E391" s="21" t="s">
        <v>94</v>
      </c>
      <c r="F391" s="22">
        <v>26.74</v>
      </c>
      <c r="G391" s="22">
        <f>F391-'Estatística'!$D$6/'Estatística'!$D$10</f>
        <v>25.73698037</v>
      </c>
      <c r="H391" s="23">
        <v>44999.0</v>
      </c>
      <c r="I391" s="24" t="str">
        <f t="shared" si="1"/>
        <v>mar.</v>
      </c>
      <c r="O391" s="8"/>
    </row>
    <row r="392" ht="15.75" customHeight="1">
      <c r="A392" s="9">
        <v>14.0</v>
      </c>
      <c r="B392" s="9" t="s">
        <v>171</v>
      </c>
      <c r="C392" s="9" t="s">
        <v>172</v>
      </c>
      <c r="D392" s="10" t="s">
        <v>11</v>
      </c>
      <c r="E392" s="11" t="s">
        <v>56</v>
      </c>
      <c r="F392" s="12">
        <v>66.49</v>
      </c>
      <c r="G392" s="12">
        <f>F392-'Estatística'!$D$6/'Estatística'!$D$10</f>
        <v>65.48698037</v>
      </c>
      <c r="H392" s="13">
        <v>44999.0</v>
      </c>
      <c r="I392" s="14" t="str">
        <f t="shared" si="1"/>
        <v>mar.</v>
      </c>
      <c r="O392" s="8"/>
    </row>
    <row r="393" ht="15.75" customHeight="1">
      <c r="A393" s="19">
        <v>3.0</v>
      </c>
      <c r="B393" s="19" t="s">
        <v>80</v>
      </c>
      <c r="C393" s="19" t="s">
        <v>81</v>
      </c>
      <c r="D393" s="20" t="s">
        <v>11</v>
      </c>
      <c r="E393" s="21" t="s">
        <v>68</v>
      </c>
      <c r="F393" s="22">
        <v>13.08</v>
      </c>
      <c r="G393" s="22">
        <f>F393-'Estatística'!$D$6/'Estatística'!$D$10</f>
        <v>12.07698037</v>
      </c>
      <c r="H393" s="23">
        <v>44999.0</v>
      </c>
      <c r="I393" s="24" t="str">
        <f t="shared" si="1"/>
        <v>mar.</v>
      </c>
      <c r="O393" s="8"/>
    </row>
    <row r="394" ht="15.75" customHeight="1">
      <c r="A394" s="9">
        <v>48.0</v>
      </c>
      <c r="B394" s="9" t="s">
        <v>41</v>
      </c>
      <c r="C394" s="9" t="s">
        <v>45</v>
      </c>
      <c r="D394" s="10" t="s">
        <v>11</v>
      </c>
      <c r="E394" s="11" t="s">
        <v>50</v>
      </c>
      <c r="F394" s="12">
        <v>22.72</v>
      </c>
      <c r="G394" s="12">
        <f>F394-'Estatística'!$D$6/'Estatística'!$D$10</f>
        <v>21.71698037</v>
      </c>
      <c r="H394" s="13">
        <v>44999.0</v>
      </c>
      <c r="I394" s="14" t="str">
        <f t="shared" si="1"/>
        <v>mar.</v>
      </c>
      <c r="O394" s="8"/>
    </row>
    <row r="395" ht="15.75" customHeight="1">
      <c r="A395" s="19">
        <v>18.0</v>
      </c>
      <c r="B395" s="19" t="s">
        <v>163</v>
      </c>
      <c r="C395" s="19" t="s">
        <v>240</v>
      </c>
      <c r="D395" s="20" t="s">
        <v>30</v>
      </c>
      <c r="E395" s="21" t="s">
        <v>39</v>
      </c>
      <c r="F395" s="22">
        <v>34.39</v>
      </c>
      <c r="G395" s="22">
        <f>F395-'Estatística'!$D$6/'Estatística'!$D$10</f>
        <v>33.38698037</v>
      </c>
      <c r="H395" s="23">
        <v>44999.0</v>
      </c>
      <c r="I395" s="24" t="str">
        <f t="shared" si="1"/>
        <v>mar.</v>
      </c>
      <c r="O395" s="8"/>
    </row>
    <row r="396" ht="15.75" customHeight="1">
      <c r="A396" s="9">
        <v>96.0</v>
      </c>
      <c r="B396" s="9" t="s">
        <v>163</v>
      </c>
      <c r="C396" s="9" t="s">
        <v>164</v>
      </c>
      <c r="D396" s="10" t="s">
        <v>11</v>
      </c>
      <c r="E396" s="11" t="s">
        <v>43</v>
      </c>
      <c r="F396" s="12">
        <v>19.04</v>
      </c>
      <c r="G396" s="12">
        <f>F396-'Estatística'!$D$6/'Estatística'!$D$10</f>
        <v>18.03698037</v>
      </c>
      <c r="H396" s="13">
        <v>44999.0</v>
      </c>
      <c r="I396" s="14" t="str">
        <f t="shared" si="1"/>
        <v>mar.</v>
      </c>
      <c r="O396" s="8"/>
    </row>
    <row r="397" ht="15.75" customHeight="1">
      <c r="A397" s="19">
        <v>1.0</v>
      </c>
      <c r="B397" s="19" t="s">
        <v>194</v>
      </c>
      <c r="C397" s="19" t="s">
        <v>195</v>
      </c>
      <c r="D397" s="20" t="s">
        <v>11</v>
      </c>
      <c r="E397" s="21" t="s">
        <v>46</v>
      </c>
      <c r="F397" s="22">
        <v>13.34</v>
      </c>
      <c r="G397" s="22">
        <f>F397-'Estatística'!$D$6/'Estatística'!$D$10</f>
        <v>12.33698037</v>
      </c>
      <c r="H397" s="23">
        <v>44999.0</v>
      </c>
      <c r="I397" s="24" t="str">
        <f t="shared" si="1"/>
        <v>mar.</v>
      </c>
      <c r="O397" s="8"/>
    </row>
    <row r="398" ht="15.75" customHeight="1">
      <c r="A398" s="9">
        <v>56.0</v>
      </c>
      <c r="B398" s="9" t="s">
        <v>127</v>
      </c>
      <c r="C398" s="9" t="s">
        <v>128</v>
      </c>
      <c r="D398" s="10" t="s">
        <v>30</v>
      </c>
      <c r="E398" s="11" t="s">
        <v>52</v>
      </c>
      <c r="F398" s="12">
        <v>62.16</v>
      </c>
      <c r="G398" s="12">
        <f>F398-'Estatística'!$D$6/'Estatística'!$D$10</f>
        <v>61.15698037</v>
      </c>
      <c r="H398" s="13">
        <v>44999.0</v>
      </c>
      <c r="I398" s="14" t="str">
        <f t="shared" si="1"/>
        <v>mar.</v>
      </c>
      <c r="O398" s="8"/>
    </row>
    <row r="399" ht="15.75" customHeight="1">
      <c r="A399" s="19">
        <v>50.0</v>
      </c>
      <c r="B399" s="19" t="s">
        <v>33</v>
      </c>
      <c r="C399" s="19" t="s">
        <v>34</v>
      </c>
      <c r="D399" s="20" t="s">
        <v>30</v>
      </c>
      <c r="E399" s="21" t="s">
        <v>46</v>
      </c>
      <c r="F399" s="22">
        <v>11.9</v>
      </c>
      <c r="G399" s="22">
        <f>F399-'Estatística'!$D$6/'Estatística'!$D$10</f>
        <v>10.89698037</v>
      </c>
      <c r="H399" s="23">
        <v>45000.0</v>
      </c>
      <c r="I399" s="24" t="str">
        <f t="shared" si="1"/>
        <v>mar.</v>
      </c>
      <c r="O399" s="8"/>
    </row>
    <row r="400" ht="15.75" customHeight="1">
      <c r="A400" s="9">
        <v>63.0</v>
      </c>
      <c r="B400" s="9" t="s">
        <v>225</v>
      </c>
      <c r="C400" s="9" t="s">
        <v>226</v>
      </c>
      <c r="D400" s="10" t="s">
        <v>11</v>
      </c>
      <c r="E400" s="11" t="s">
        <v>91</v>
      </c>
      <c r="F400" s="12">
        <v>4.24</v>
      </c>
      <c r="G400" s="12">
        <f>F400-'Estatística'!$D$6/'Estatística'!$D$10</f>
        <v>3.236980371</v>
      </c>
      <c r="H400" s="13">
        <v>45000.0</v>
      </c>
      <c r="I400" s="14" t="str">
        <f t="shared" si="1"/>
        <v>mar.</v>
      </c>
      <c r="O400" s="8"/>
    </row>
    <row r="401" ht="15.75" customHeight="1">
      <c r="A401" s="19">
        <v>5.0</v>
      </c>
      <c r="B401" s="19" t="s">
        <v>167</v>
      </c>
      <c r="C401" s="19" t="s">
        <v>168</v>
      </c>
      <c r="D401" s="20" t="s">
        <v>11</v>
      </c>
      <c r="E401" s="21" t="s">
        <v>88</v>
      </c>
      <c r="F401" s="22">
        <v>32.99</v>
      </c>
      <c r="G401" s="22">
        <f>F401-'Estatística'!$D$6/'Estatística'!$D$10</f>
        <v>31.98698037</v>
      </c>
      <c r="H401" s="23">
        <v>45000.0</v>
      </c>
      <c r="I401" s="24" t="str">
        <f t="shared" si="1"/>
        <v>mar.</v>
      </c>
      <c r="O401" s="8"/>
    </row>
    <row r="402" ht="15.75" customHeight="1">
      <c r="A402" s="9">
        <v>84.0</v>
      </c>
      <c r="B402" s="9" t="s">
        <v>141</v>
      </c>
      <c r="C402" s="9" t="s">
        <v>142</v>
      </c>
      <c r="D402" s="10" t="s">
        <v>30</v>
      </c>
      <c r="E402" s="11" t="s">
        <v>91</v>
      </c>
      <c r="F402" s="12">
        <v>1.6</v>
      </c>
      <c r="G402" s="12">
        <f>F402-'Estatística'!$D$6/'Estatística'!$D$10</f>
        <v>0.5969803714</v>
      </c>
      <c r="H402" s="13">
        <v>45000.0</v>
      </c>
      <c r="I402" s="14" t="str">
        <f t="shared" si="1"/>
        <v>mar.</v>
      </c>
      <c r="O402" s="8"/>
    </row>
    <row r="403" ht="15.75" customHeight="1">
      <c r="A403" s="19">
        <v>30.0</v>
      </c>
      <c r="B403" s="19" t="s">
        <v>9</v>
      </c>
      <c r="C403" s="19" t="s">
        <v>10</v>
      </c>
      <c r="D403" s="20" t="s">
        <v>11</v>
      </c>
      <c r="E403" s="21" t="s">
        <v>76</v>
      </c>
      <c r="F403" s="22">
        <v>12.06</v>
      </c>
      <c r="G403" s="22">
        <f>F403-'Estatística'!$D$6/'Estatística'!$D$10</f>
        <v>11.05698037</v>
      </c>
      <c r="H403" s="23">
        <v>45000.0</v>
      </c>
      <c r="I403" s="24" t="str">
        <f t="shared" si="1"/>
        <v>mar.</v>
      </c>
      <c r="O403" s="8"/>
    </row>
    <row r="404" ht="15.75" customHeight="1">
      <c r="A404" s="9">
        <v>61.0</v>
      </c>
      <c r="B404" s="9" t="s">
        <v>106</v>
      </c>
      <c r="C404" s="9" t="s">
        <v>107</v>
      </c>
      <c r="D404" s="10" t="s">
        <v>11</v>
      </c>
      <c r="E404" s="11" t="s">
        <v>68</v>
      </c>
      <c r="F404" s="12">
        <v>15.41</v>
      </c>
      <c r="G404" s="12">
        <f>F404-'Estatística'!$D$6/'Estatística'!$D$10</f>
        <v>14.40698037</v>
      </c>
      <c r="H404" s="13">
        <v>45000.0</v>
      </c>
      <c r="I404" s="14" t="str">
        <f t="shared" si="1"/>
        <v>mar.</v>
      </c>
      <c r="O404" s="8"/>
    </row>
    <row r="405" ht="15.75" customHeight="1">
      <c r="A405" s="19">
        <v>29.0</v>
      </c>
      <c r="B405" s="19" t="s">
        <v>122</v>
      </c>
      <c r="C405" s="19" t="s">
        <v>123</v>
      </c>
      <c r="D405" s="20" t="s">
        <v>30</v>
      </c>
      <c r="E405" s="21" t="s">
        <v>43</v>
      </c>
      <c r="F405" s="22">
        <v>18.35</v>
      </c>
      <c r="G405" s="22">
        <f>F405-'Estatística'!$D$6/'Estatística'!$D$10</f>
        <v>17.34698037</v>
      </c>
      <c r="H405" s="23">
        <v>45000.0</v>
      </c>
      <c r="I405" s="24" t="str">
        <f t="shared" si="1"/>
        <v>mar.</v>
      </c>
      <c r="O405" s="8"/>
    </row>
    <row r="406" ht="15.75" customHeight="1">
      <c r="A406" s="9">
        <v>6.0</v>
      </c>
      <c r="B406" s="9" t="s">
        <v>183</v>
      </c>
      <c r="C406" s="9" t="s">
        <v>184</v>
      </c>
      <c r="D406" s="10" t="s">
        <v>30</v>
      </c>
      <c r="E406" s="11" t="s">
        <v>88</v>
      </c>
      <c r="F406" s="12">
        <v>33.45</v>
      </c>
      <c r="G406" s="12">
        <f>F406-'Estatística'!$D$6/'Estatística'!$D$10</f>
        <v>32.44698037</v>
      </c>
      <c r="H406" s="13">
        <v>45001.0</v>
      </c>
      <c r="I406" s="14" t="str">
        <f t="shared" si="1"/>
        <v>mar.</v>
      </c>
      <c r="O406" s="8"/>
    </row>
    <row r="407" ht="15.75" customHeight="1">
      <c r="A407" s="19">
        <v>9.0</v>
      </c>
      <c r="B407" s="19" t="s">
        <v>207</v>
      </c>
      <c r="C407" s="19" t="s">
        <v>208</v>
      </c>
      <c r="D407" s="20" t="s">
        <v>30</v>
      </c>
      <c r="E407" s="21" t="s">
        <v>97</v>
      </c>
      <c r="F407" s="22">
        <v>5.36</v>
      </c>
      <c r="G407" s="22">
        <f>F407-'Estatística'!$D$6/'Estatística'!$D$10</f>
        <v>4.356980371</v>
      </c>
      <c r="H407" s="23">
        <v>45001.0</v>
      </c>
      <c r="I407" s="24" t="str">
        <f t="shared" si="1"/>
        <v>mar.</v>
      </c>
      <c r="O407" s="8"/>
    </row>
    <row r="408" ht="15.75" customHeight="1">
      <c r="A408" s="9">
        <v>78.0</v>
      </c>
      <c r="B408" s="9" t="s">
        <v>28</v>
      </c>
      <c r="C408" s="9" t="s">
        <v>29</v>
      </c>
      <c r="D408" s="10" t="s">
        <v>30</v>
      </c>
      <c r="E408" s="11" t="s">
        <v>72</v>
      </c>
      <c r="F408" s="12">
        <v>21.01</v>
      </c>
      <c r="G408" s="12">
        <f>F408-'Estatística'!$D$6/'Estatística'!$D$10</f>
        <v>20.00698037</v>
      </c>
      <c r="H408" s="13">
        <v>45002.0</v>
      </c>
      <c r="I408" s="14" t="str">
        <f t="shared" si="1"/>
        <v>mar.</v>
      </c>
      <c r="O408" s="8"/>
    </row>
    <row r="409" ht="15.75" customHeight="1">
      <c r="A409" s="19">
        <v>68.0</v>
      </c>
      <c r="B409" s="19" t="s">
        <v>41</v>
      </c>
      <c r="C409" s="19" t="s">
        <v>42</v>
      </c>
      <c r="D409" s="20" t="s">
        <v>11</v>
      </c>
      <c r="E409" s="21" t="s">
        <v>68</v>
      </c>
      <c r="F409" s="22">
        <v>19.26</v>
      </c>
      <c r="G409" s="22">
        <f>F409-'Estatística'!$D$6/'Estatística'!$D$10</f>
        <v>18.25698037</v>
      </c>
      <c r="H409" s="23">
        <v>45002.0</v>
      </c>
      <c r="I409" s="24" t="str">
        <f t="shared" si="1"/>
        <v>mar.</v>
      </c>
      <c r="O409" s="8"/>
    </row>
    <row r="410" ht="15.75" customHeight="1">
      <c r="A410" s="9">
        <v>71.0</v>
      </c>
      <c r="B410" s="9" t="s">
        <v>150</v>
      </c>
      <c r="C410" s="9" t="s">
        <v>151</v>
      </c>
      <c r="D410" s="10" t="s">
        <v>11</v>
      </c>
      <c r="E410" s="11" t="s">
        <v>85</v>
      </c>
      <c r="F410" s="12">
        <v>11.95</v>
      </c>
      <c r="G410" s="12">
        <f>F410-'Estatística'!$D$6/'Estatística'!$D$10</f>
        <v>10.94698037</v>
      </c>
      <c r="H410" s="13">
        <v>45002.0</v>
      </c>
      <c r="I410" s="14" t="str">
        <f t="shared" si="1"/>
        <v>mar.</v>
      </c>
      <c r="O410" s="8"/>
    </row>
    <row r="411" ht="15.75" customHeight="1">
      <c r="A411" s="19">
        <v>2.0</v>
      </c>
      <c r="B411" s="19" t="s">
        <v>83</v>
      </c>
      <c r="C411" s="19" t="s">
        <v>84</v>
      </c>
      <c r="D411" s="20" t="s">
        <v>11</v>
      </c>
      <c r="E411" s="21" t="s">
        <v>88</v>
      </c>
      <c r="F411" s="22">
        <v>34.22</v>
      </c>
      <c r="G411" s="22">
        <f>F411-'Estatística'!$D$6/'Estatística'!$D$10</f>
        <v>33.21698037</v>
      </c>
      <c r="H411" s="23">
        <v>45002.0</v>
      </c>
      <c r="I411" s="24" t="str">
        <f t="shared" si="1"/>
        <v>mar.</v>
      </c>
      <c r="O411" s="8"/>
    </row>
    <row r="412" ht="15.75" customHeight="1">
      <c r="A412" s="9">
        <v>73.0</v>
      </c>
      <c r="B412" s="9" t="s">
        <v>223</v>
      </c>
      <c r="C412" s="9" t="s">
        <v>224</v>
      </c>
      <c r="D412" s="10" t="s">
        <v>11</v>
      </c>
      <c r="E412" s="11" t="s">
        <v>60</v>
      </c>
      <c r="F412" s="12">
        <v>39.01</v>
      </c>
      <c r="G412" s="12">
        <f>F412-'Estatística'!$D$6/'Estatística'!$D$10</f>
        <v>38.00698037</v>
      </c>
      <c r="H412" s="13">
        <v>45002.0</v>
      </c>
      <c r="I412" s="14" t="str">
        <f t="shared" si="1"/>
        <v>mar.</v>
      </c>
      <c r="O412" s="8"/>
    </row>
    <row r="413" ht="15.75" customHeight="1">
      <c r="A413" s="19">
        <v>39.0</v>
      </c>
      <c r="B413" s="19" t="s">
        <v>89</v>
      </c>
      <c r="C413" s="19" t="s">
        <v>90</v>
      </c>
      <c r="D413" s="20" t="s">
        <v>30</v>
      </c>
      <c r="E413" s="21" t="s">
        <v>85</v>
      </c>
      <c r="F413" s="22">
        <v>12.78</v>
      </c>
      <c r="G413" s="22">
        <f>F413-'Estatística'!$D$6/'Estatística'!$D$10</f>
        <v>11.77698037</v>
      </c>
      <c r="H413" s="23">
        <v>45002.0</v>
      </c>
      <c r="I413" s="24" t="str">
        <f t="shared" si="1"/>
        <v>mar.</v>
      </c>
      <c r="O413" s="8"/>
    </row>
    <row r="414" ht="15.75" customHeight="1">
      <c r="A414" s="9">
        <v>67.0</v>
      </c>
      <c r="B414" s="9" t="s">
        <v>204</v>
      </c>
      <c r="C414" s="9" t="s">
        <v>205</v>
      </c>
      <c r="D414" s="10" t="s">
        <v>11</v>
      </c>
      <c r="E414" s="11" t="s">
        <v>85</v>
      </c>
      <c r="F414" s="12">
        <v>15.72</v>
      </c>
      <c r="G414" s="12">
        <f>F414-'Estatística'!$D$6/'Estatística'!$D$10</f>
        <v>14.71698037</v>
      </c>
      <c r="H414" s="13">
        <v>45003.0</v>
      </c>
      <c r="I414" s="14" t="str">
        <f t="shared" si="1"/>
        <v>mar.</v>
      </c>
      <c r="O414" s="8"/>
    </row>
    <row r="415" ht="15.75" customHeight="1">
      <c r="A415" s="19">
        <v>11.0</v>
      </c>
      <c r="B415" s="19" t="s">
        <v>227</v>
      </c>
      <c r="C415" s="19" t="s">
        <v>228</v>
      </c>
      <c r="D415" s="20" t="s">
        <v>30</v>
      </c>
      <c r="E415" s="21" t="s">
        <v>91</v>
      </c>
      <c r="F415" s="22">
        <v>3.57</v>
      </c>
      <c r="G415" s="22">
        <f>F415-'Estatística'!$D$6/'Estatística'!$D$10</f>
        <v>2.566980371</v>
      </c>
      <c r="H415" s="23">
        <v>45003.0</v>
      </c>
      <c r="I415" s="24" t="str">
        <f t="shared" si="1"/>
        <v>mar.</v>
      </c>
      <c r="O415" s="8"/>
    </row>
    <row r="416" ht="15.75" customHeight="1">
      <c r="A416" s="9">
        <v>76.0</v>
      </c>
      <c r="B416" s="9" t="s">
        <v>213</v>
      </c>
      <c r="C416" s="9" t="s">
        <v>214</v>
      </c>
      <c r="D416" s="10" t="s">
        <v>11</v>
      </c>
      <c r="E416" s="11" t="s">
        <v>68</v>
      </c>
      <c r="F416" s="12">
        <v>12.11</v>
      </c>
      <c r="G416" s="12">
        <f>F416-'Estatística'!$D$6/'Estatística'!$D$10</f>
        <v>11.10698037</v>
      </c>
      <c r="H416" s="13">
        <v>45003.0</v>
      </c>
      <c r="I416" s="14" t="str">
        <f t="shared" si="1"/>
        <v>mar.</v>
      </c>
      <c r="O416" s="8"/>
    </row>
    <row r="417" ht="15.75" customHeight="1">
      <c r="A417" s="19">
        <v>51.0</v>
      </c>
      <c r="B417" s="19" t="s">
        <v>233</v>
      </c>
      <c r="C417" s="19" t="s">
        <v>234</v>
      </c>
      <c r="D417" s="20" t="s">
        <v>11</v>
      </c>
      <c r="E417" s="21" t="s">
        <v>39</v>
      </c>
      <c r="F417" s="22">
        <v>28.96</v>
      </c>
      <c r="G417" s="22">
        <f>F417-'Estatística'!$D$6/'Estatística'!$D$10</f>
        <v>27.95698037</v>
      </c>
      <c r="H417" s="23">
        <v>45003.0</v>
      </c>
      <c r="I417" s="24" t="str">
        <f t="shared" si="1"/>
        <v>mar.</v>
      </c>
      <c r="O417" s="8"/>
    </row>
    <row r="418" ht="15.75" customHeight="1">
      <c r="A418" s="9">
        <v>34.0</v>
      </c>
      <c r="B418" s="9" t="s">
        <v>177</v>
      </c>
      <c r="C418" s="9" t="s">
        <v>178</v>
      </c>
      <c r="D418" s="10" t="s">
        <v>11</v>
      </c>
      <c r="E418" s="11" t="s">
        <v>43</v>
      </c>
      <c r="F418" s="12">
        <v>20.61</v>
      </c>
      <c r="G418" s="12">
        <f>F418-'Estatística'!$D$6/'Estatística'!$D$10</f>
        <v>19.60698037</v>
      </c>
      <c r="H418" s="13">
        <v>45003.0</v>
      </c>
      <c r="I418" s="14" t="str">
        <f t="shared" si="1"/>
        <v>mar.</v>
      </c>
      <c r="O418" s="8"/>
    </row>
    <row r="419" ht="15.75" customHeight="1">
      <c r="A419" s="19">
        <v>64.0</v>
      </c>
      <c r="B419" s="19" t="s">
        <v>159</v>
      </c>
      <c r="C419" s="19" t="s">
        <v>160</v>
      </c>
      <c r="D419" s="20" t="s">
        <v>11</v>
      </c>
      <c r="E419" s="21" t="s">
        <v>91</v>
      </c>
      <c r="F419" s="22">
        <v>2.05</v>
      </c>
      <c r="G419" s="22">
        <f>F419-'Estatística'!$D$6/'Estatística'!$D$10</f>
        <v>1.046980371</v>
      </c>
      <c r="H419" s="23">
        <v>45004.0</v>
      </c>
      <c r="I419" s="24" t="str">
        <f t="shared" si="1"/>
        <v>mar.</v>
      </c>
      <c r="O419" s="8"/>
    </row>
    <row r="420" ht="15.75" customHeight="1">
      <c r="A420" s="9">
        <v>96.0</v>
      </c>
      <c r="B420" s="9" t="s">
        <v>163</v>
      </c>
      <c r="C420" s="9" t="s">
        <v>164</v>
      </c>
      <c r="D420" s="10" t="s">
        <v>30</v>
      </c>
      <c r="E420" s="11" t="s">
        <v>50</v>
      </c>
      <c r="F420" s="12">
        <v>25.43</v>
      </c>
      <c r="G420" s="12">
        <f>F420-'Estatística'!$D$6/'Estatística'!$D$10</f>
        <v>24.42698037</v>
      </c>
      <c r="H420" s="13">
        <v>45004.0</v>
      </c>
      <c r="I420" s="14" t="str">
        <f t="shared" si="1"/>
        <v>mar.</v>
      </c>
      <c r="O420" s="8"/>
    </row>
    <row r="421" ht="15.75" customHeight="1">
      <c r="A421" s="19">
        <v>68.0</v>
      </c>
      <c r="B421" s="19" t="s">
        <v>41</v>
      </c>
      <c r="C421" s="19" t="s">
        <v>42</v>
      </c>
      <c r="D421" s="20" t="s">
        <v>30</v>
      </c>
      <c r="E421" s="21" t="s">
        <v>97</v>
      </c>
      <c r="F421" s="22">
        <v>2.33</v>
      </c>
      <c r="G421" s="22">
        <f>F421-'Estatística'!$D$6/'Estatística'!$D$10</f>
        <v>1.326980371</v>
      </c>
      <c r="H421" s="23">
        <v>45004.0</v>
      </c>
      <c r="I421" s="24" t="str">
        <f t="shared" si="1"/>
        <v>mar.</v>
      </c>
      <c r="O421" s="8"/>
    </row>
    <row r="422" ht="15.75" customHeight="1">
      <c r="A422" s="9">
        <v>67.0</v>
      </c>
      <c r="B422" s="9" t="s">
        <v>204</v>
      </c>
      <c r="C422" s="9" t="s">
        <v>205</v>
      </c>
      <c r="D422" s="10" t="s">
        <v>11</v>
      </c>
      <c r="E422" s="11" t="s">
        <v>88</v>
      </c>
      <c r="F422" s="12">
        <v>40.58</v>
      </c>
      <c r="G422" s="12">
        <f>F422-'Estatística'!$D$6/'Estatística'!$D$10</f>
        <v>39.57698037</v>
      </c>
      <c r="H422" s="13">
        <v>45004.0</v>
      </c>
      <c r="I422" s="14" t="str">
        <f t="shared" si="1"/>
        <v>mar.</v>
      </c>
      <c r="O422" s="8"/>
    </row>
    <row r="423" ht="15.75" customHeight="1">
      <c r="A423" s="19">
        <v>21.0</v>
      </c>
      <c r="B423" s="19" t="s">
        <v>186</v>
      </c>
      <c r="C423" s="19" t="s">
        <v>187</v>
      </c>
      <c r="D423" s="20" t="s">
        <v>30</v>
      </c>
      <c r="E423" s="21" t="s">
        <v>85</v>
      </c>
      <c r="F423" s="22">
        <v>12.7</v>
      </c>
      <c r="G423" s="22">
        <f>F423-'Estatística'!$D$6/'Estatística'!$D$10</f>
        <v>11.69698037</v>
      </c>
      <c r="H423" s="23">
        <v>45004.0</v>
      </c>
      <c r="I423" s="24" t="str">
        <f t="shared" si="1"/>
        <v>mar.</v>
      </c>
      <c r="O423" s="8"/>
    </row>
    <row r="424" ht="15.75" customHeight="1">
      <c r="A424" s="9">
        <v>36.0</v>
      </c>
      <c r="B424" s="9" t="s">
        <v>92</v>
      </c>
      <c r="C424" s="9" t="s">
        <v>93</v>
      </c>
      <c r="D424" s="10" t="s">
        <v>11</v>
      </c>
      <c r="E424" s="11" t="s">
        <v>79</v>
      </c>
      <c r="F424" s="12">
        <v>37.81</v>
      </c>
      <c r="G424" s="12">
        <f>F424-'Estatística'!$D$6/'Estatística'!$D$10</f>
        <v>36.80698037</v>
      </c>
      <c r="H424" s="13">
        <v>45004.0</v>
      </c>
      <c r="I424" s="14" t="str">
        <f t="shared" si="1"/>
        <v>mar.</v>
      </c>
      <c r="O424" s="8"/>
    </row>
    <row r="425" ht="15.75" customHeight="1">
      <c r="A425" s="19">
        <v>95.0</v>
      </c>
      <c r="B425" s="19" t="s">
        <v>110</v>
      </c>
      <c r="C425" s="19" t="s">
        <v>111</v>
      </c>
      <c r="D425" s="20" t="s">
        <v>11</v>
      </c>
      <c r="E425" s="21" t="s">
        <v>72</v>
      </c>
      <c r="F425" s="22">
        <v>14.51</v>
      </c>
      <c r="G425" s="22">
        <f>F425-'Estatística'!$D$6/'Estatística'!$D$10</f>
        <v>13.50698037</v>
      </c>
      <c r="H425" s="23">
        <v>45005.0</v>
      </c>
      <c r="I425" s="24" t="str">
        <f t="shared" si="1"/>
        <v>mar.</v>
      </c>
      <c r="O425" s="8"/>
    </row>
    <row r="426" ht="15.75" customHeight="1">
      <c r="A426" s="9">
        <v>54.0</v>
      </c>
      <c r="B426" s="9" t="s">
        <v>86</v>
      </c>
      <c r="C426" s="9" t="s">
        <v>87</v>
      </c>
      <c r="D426" s="10" t="s">
        <v>11</v>
      </c>
      <c r="E426" s="11" t="s">
        <v>72</v>
      </c>
      <c r="F426" s="12">
        <v>14.65</v>
      </c>
      <c r="G426" s="12">
        <f>F426-'Estatística'!$D$6/'Estatística'!$D$10</f>
        <v>13.64698037</v>
      </c>
      <c r="H426" s="13">
        <v>45005.0</v>
      </c>
      <c r="I426" s="14" t="str">
        <f t="shared" si="1"/>
        <v>mar.</v>
      </c>
      <c r="O426" s="8"/>
    </row>
    <row r="427" ht="15.75" customHeight="1">
      <c r="A427" s="19">
        <v>98.0</v>
      </c>
      <c r="B427" s="19" t="s">
        <v>159</v>
      </c>
      <c r="C427" s="19" t="s">
        <v>196</v>
      </c>
      <c r="D427" s="20" t="s">
        <v>11</v>
      </c>
      <c r="E427" s="21" t="s">
        <v>46</v>
      </c>
      <c r="F427" s="22">
        <v>11.93</v>
      </c>
      <c r="G427" s="22">
        <f>F427-'Estatística'!$D$6/'Estatística'!$D$10</f>
        <v>10.92698037</v>
      </c>
      <c r="H427" s="23">
        <v>45005.0</v>
      </c>
      <c r="I427" s="24" t="str">
        <f t="shared" si="1"/>
        <v>mar.</v>
      </c>
      <c r="O427" s="8"/>
    </row>
    <row r="428" ht="15.75" customHeight="1">
      <c r="A428" s="9">
        <v>93.0</v>
      </c>
      <c r="B428" s="9" t="s">
        <v>129</v>
      </c>
      <c r="C428" s="9" t="s">
        <v>130</v>
      </c>
      <c r="D428" s="10" t="s">
        <v>30</v>
      </c>
      <c r="E428" s="11" t="s">
        <v>88</v>
      </c>
      <c r="F428" s="12">
        <v>36.41</v>
      </c>
      <c r="G428" s="12">
        <f>F428-'Estatística'!$D$6/'Estatística'!$D$10</f>
        <v>35.40698037</v>
      </c>
      <c r="H428" s="13">
        <v>45005.0</v>
      </c>
      <c r="I428" s="14" t="str">
        <f t="shared" si="1"/>
        <v>mar.</v>
      </c>
      <c r="O428" s="8"/>
    </row>
    <row r="429" ht="15.75" customHeight="1">
      <c r="A429" s="19">
        <v>45.0</v>
      </c>
      <c r="B429" s="19" t="s">
        <v>221</v>
      </c>
      <c r="C429" s="19" t="s">
        <v>222</v>
      </c>
      <c r="D429" s="20" t="s">
        <v>30</v>
      </c>
      <c r="E429" s="21" t="s">
        <v>43</v>
      </c>
      <c r="F429" s="22">
        <v>14.91</v>
      </c>
      <c r="G429" s="22">
        <f>F429-'Estatística'!$D$6/'Estatística'!$D$10</f>
        <v>13.90698037</v>
      </c>
      <c r="H429" s="23">
        <v>45005.0</v>
      </c>
      <c r="I429" s="24" t="str">
        <f t="shared" si="1"/>
        <v>mar.</v>
      </c>
      <c r="O429" s="8"/>
    </row>
    <row r="430" ht="15.75" customHeight="1">
      <c r="A430" s="9">
        <v>61.0</v>
      </c>
      <c r="B430" s="9" t="s">
        <v>106</v>
      </c>
      <c r="C430" s="9" t="s">
        <v>107</v>
      </c>
      <c r="D430" s="10" t="s">
        <v>30</v>
      </c>
      <c r="E430" s="11" t="s">
        <v>31</v>
      </c>
      <c r="F430" s="12">
        <v>51.2</v>
      </c>
      <c r="G430" s="12">
        <f>F430-'Estatística'!$D$6/'Estatística'!$D$10</f>
        <v>50.19698037</v>
      </c>
      <c r="H430" s="13">
        <v>45005.0</v>
      </c>
      <c r="I430" s="14" t="str">
        <f t="shared" si="1"/>
        <v>mar.</v>
      </c>
      <c r="O430" s="8"/>
    </row>
    <row r="431" ht="15.75" customHeight="1">
      <c r="A431" s="19">
        <v>76.0</v>
      </c>
      <c r="B431" s="19" t="s">
        <v>213</v>
      </c>
      <c r="C431" s="19" t="s">
        <v>214</v>
      </c>
      <c r="D431" s="20" t="s">
        <v>30</v>
      </c>
      <c r="E431" s="21" t="s">
        <v>35</v>
      </c>
      <c r="F431" s="22">
        <v>22.1</v>
      </c>
      <c r="G431" s="22">
        <f>F431-'Estatística'!$D$6/'Estatística'!$D$10</f>
        <v>21.09698037</v>
      </c>
      <c r="H431" s="23">
        <v>45007.0</v>
      </c>
      <c r="I431" s="24" t="str">
        <f t="shared" si="1"/>
        <v>mar.</v>
      </c>
      <c r="O431" s="8"/>
    </row>
    <row r="432" ht="15.75" customHeight="1">
      <c r="A432" s="9">
        <v>71.0</v>
      </c>
      <c r="B432" s="9" t="s">
        <v>150</v>
      </c>
      <c r="C432" s="9" t="s">
        <v>151</v>
      </c>
      <c r="D432" s="10" t="s">
        <v>30</v>
      </c>
      <c r="E432" s="11" t="s">
        <v>56</v>
      </c>
      <c r="F432" s="12">
        <v>60.88</v>
      </c>
      <c r="G432" s="12">
        <f>F432-'Estatística'!$D$6/'Estatística'!$D$10</f>
        <v>59.87698037</v>
      </c>
      <c r="H432" s="13">
        <v>45007.0</v>
      </c>
      <c r="I432" s="14" t="str">
        <f t="shared" si="1"/>
        <v>mar.</v>
      </c>
      <c r="O432" s="8"/>
    </row>
    <row r="433" ht="15.75" customHeight="1">
      <c r="A433" s="19">
        <v>44.0</v>
      </c>
      <c r="B433" s="19" t="s">
        <v>215</v>
      </c>
      <c r="C433" s="19" t="s">
        <v>216</v>
      </c>
      <c r="D433" s="20" t="s">
        <v>30</v>
      </c>
      <c r="E433" s="21" t="s">
        <v>91</v>
      </c>
      <c r="F433" s="22">
        <v>3.98</v>
      </c>
      <c r="G433" s="22">
        <f>F433-'Estatística'!$D$6/'Estatística'!$D$10</f>
        <v>2.976980371</v>
      </c>
      <c r="H433" s="23">
        <v>45007.0</v>
      </c>
      <c r="I433" s="24" t="str">
        <f t="shared" si="1"/>
        <v>mar.</v>
      </c>
      <c r="O433" s="8"/>
    </row>
    <row r="434" ht="15.75" customHeight="1">
      <c r="A434" s="9">
        <v>98.0</v>
      </c>
      <c r="B434" s="9" t="s">
        <v>159</v>
      </c>
      <c r="C434" s="9" t="s">
        <v>196</v>
      </c>
      <c r="D434" s="10" t="s">
        <v>11</v>
      </c>
      <c r="E434" s="11" t="s">
        <v>56</v>
      </c>
      <c r="F434" s="12">
        <v>80.04</v>
      </c>
      <c r="G434" s="12">
        <f>F434-'Estatística'!$D$6/'Estatística'!$D$10</f>
        <v>79.03698037</v>
      </c>
      <c r="H434" s="13">
        <v>45007.0</v>
      </c>
      <c r="I434" s="14" t="str">
        <f t="shared" si="1"/>
        <v>mar.</v>
      </c>
      <c r="O434" s="8"/>
    </row>
    <row r="435" ht="15.75" customHeight="1">
      <c r="A435" s="19">
        <v>26.0</v>
      </c>
      <c r="B435" s="19" t="s">
        <v>211</v>
      </c>
      <c r="C435" s="19" t="s">
        <v>212</v>
      </c>
      <c r="D435" s="20" t="s">
        <v>11</v>
      </c>
      <c r="E435" s="21" t="s">
        <v>31</v>
      </c>
      <c r="F435" s="22">
        <v>50.9</v>
      </c>
      <c r="G435" s="22">
        <f>F435-'Estatística'!$D$6/'Estatística'!$D$10</f>
        <v>49.89698037</v>
      </c>
      <c r="H435" s="23">
        <v>45007.0</v>
      </c>
      <c r="I435" s="24" t="str">
        <f t="shared" si="1"/>
        <v>mar.</v>
      </c>
      <c r="O435" s="8"/>
    </row>
    <row r="436" ht="15.75" customHeight="1">
      <c r="A436" s="9">
        <v>8.0</v>
      </c>
      <c r="B436" s="9" t="s">
        <v>108</v>
      </c>
      <c r="C436" s="9" t="s">
        <v>109</v>
      </c>
      <c r="D436" s="10" t="s">
        <v>30</v>
      </c>
      <c r="E436" s="11" t="s">
        <v>79</v>
      </c>
      <c r="F436" s="12">
        <v>28.95</v>
      </c>
      <c r="G436" s="12">
        <f>F436-'Estatística'!$D$6/'Estatística'!$D$10</f>
        <v>27.94698037</v>
      </c>
      <c r="H436" s="13">
        <v>45008.0</v>
      </c>
      <c r="I436" s="14" t="str">
        <f t="shared" si="1"/>
        <v>mar.</v>
      </c>
      <c r="O436" s="8"/>
    </row>
    <row r="437" ht="15.75" customHeight="1">
      <c r="A437" s="19">
        <v>28.0</v>
      </c>
      <c r="B437" s="19" t="s">
        <v>77</v>
      </c>
      <c r="C437" s="19" t="s">
        <v>78</v>
      </c>
      <c r="D437" s="20" t="s">
        <v>11</v>
      </c>
      <c r="E437" s="21" t="s">
        <v>94</v>
      </c>
      <c r="F437" s="22">
        <v>29.04</v>
      </c>
      <c r="G437" s="22">
        <f>F437-'Estatística'!$D$6/'Estatística'!$D$10</f>
        <v>28.03698037</v>
      </c>
      <c r="H437" s="23">
        <v>45008.0</v>
      </c>
      <c r="I437" s="24" t="str">
        <f t="shared" si="1"/>
        <v>mar.</v>
      </c>
      <c r="O437" s="8"/>
    </row>
    <row r="438" ht="15.75" customHeight="1">
      <c r="A438" s="9">
        <v>27.0</v>
      </c>
      <c r="B438" s="9" t="s">
        <v>173</v>
      </c>
      <c r="C438" s="9" t="s">
        <v>174</v>
      </c>
      <c r="D438" s="10" t="s">
        <v>11</v>
      </c>
      <c r="E438" s="11" t="s">
        <v>72</v>
      </c>
      <c r="F438" s="12">
        <v>19.19</v>
      </c>
      <c r="G438" s="12">
        <f>F438-'Estatística'!$D$6/'Estatística'!$D$10</f>
        <v>18.18698037</v>
      </c>
      <c r="H438" s="13">
        <v>45008.0</v>
      </c>
      <c r="I438" s="14" t="str">
        <f t="shared" si="1"/>
        <v>mar.</v>
      </c>
      <c r="O438" s="8"/>
    </row>
    <row r="439" ht="15.75" customHeight="1">
      <c r="A439" s="19">
        <v>37.0</v>
      </c>
      <c r="B439" s="19" t="s">
        <v>245</v>
      </c>
      <c r="C439" s="19" t="s">
        <v>246</v>
      </c>
      <c r="D439" s="20" t="s">
        <v>30</v>
      </c>
      <c r="E439" s="21" t="s">
        <v>88</v>
      </c>
      <c r="F439" s="22">
        <v>41.04</v>
      </c>
      <c r="G439" s="22">
        <f>F439-'Estatística'!$D$6/'Estatística'!$D$10</f>
        <v>40.03698037</v>
      </c>
      <c r="H439" s="23">
        <v>45008.0</v>
      </c>
      <c r="I439" s="24" t="str">
        <f t="shared" si="1"/>
        <v>mar.</v>
      </c>
      <c r="O439" s="8"/>
    </row>
    <row r="440" ht="15.75" customHeight="1">
      <c r="A440" s="9">
        <v>99.0</v>
      </c>
      <c r="B440" s="9" t="s">
        <v>73</v>
      </c>
      <c r="C440" s="9" t="s">
        <v>74</v>
      </c>
      <c r="D440" s="10" t="s">
        <v>11</v>
      </c>
      <c r="E440" s="11" t="s">
        <v>97</v>
      </c>
      <c r="F440" s="12">
        <v>3.64</v>
      </c>
      <c r="G440" s="12">
        <f>F440-'Estatística'!$D$6/'Estatística'!$D$10</f>
        <v>2.636980371</v>
      </c>
      <c r="H440" s="13">
        <v>45008.0</v>
      </c>
      <c r="I440" s="14" t="str">
        <f t="shared" si="1"/>
        <v>mar.</v>
      </c>
      <c r="O440" s="8"/>
    </row>
    <row r="441" ht="15.75" customHeight="1">
      <c r="A441" s="19">
        <v>31.0</v>
      </c>
      <c r="B441" s="19" t="s">
        <v>229</v>
      </c>
      <c r="C441" s="19" t="s">
        <v>230</v>
      </c>
      <c r="D441" s="20" t="s">
        <v>30</v>
      </c>
      <c r="E441" s="21" t="s">
        <v>88</v>
      </c>
      <c r="F441" s="22">
        <v>39.93</v>
      </c>
      <c r="G441" s="22">
        <f>F441-'Estatística'!$D$6/'Estatística'!$D$10</f>
        <v>38.92698037</v>
      </c>
      <c r="H441" s="23">
        <v>45008.0</v>
      </c>
      <c r="I441" s="24" t="str">
        <f t="shared" si="1"/>
        <v>mar.</v>
      </c>
      <c r="O441" s="8"/>
    </row>
    <row r="442" ht="15.75" customHeight="1">
      <c r="A442" s="9">
        <v>75.0</v>
      </c>
      <c r="B442" s="9" t="s">
        <v>238</v>
      </c>
      <c r="C442" s="9" t="s">
        <v>239</v>
      </c>
      <c r="D442" s="10" t="s">
        <v>30</v>
      </c>
      <c r="E442" s="11" t="s">
        <v>56</v>
      </c>
      <c r="F442" s="12">
        <v>62.35</v>
      </c>
      <c r="G442" s="12">
        <f>F442-'Estatística'!$D$6/'Estatística'!$D$10</f>
        <v>61.34698037</v>
      </c>
      <c r="H442" s="13">
        <v>45008.0</v>
      </c>
      <c r="I442" s="14" t="str">
        <f t="shared" si="1"/>
        <v>mar.</v>
      </c>
      <c r="O442" s="8"/>
    </row>
    <row r="443" ht="15.75" customHeight="1">
      <c r="A443" s="19">
        <v>66.0</v>
      </c>
      <c r="B443" s="19" t="s">
        <v>150</v>
      </c>
      <c r="C443" s="19" t="s">
        <v>158</v>
      </c>
      <c r="D443" s="20" t="s">
        <v>30</v>
      </c>
      <c r="E443" s="21" t="s">
        <v>31</v>
      </c>
      <c r="F443" s="22">
        <v>44.95</v>
      </c>
      <c r="G443" s="22">
        <f>F443-'Estatística'!$D$6/'Estatística'!$D$10</f>
        <v>43.94698037</v>
      </c>
      <c r="H443" s="23">
        <v>45009.0</v>
      </c>
      <c r="I443" s="24" t="str">
        <f t="shared" si="1"/>
        <v>mar.</v>
      </c>
      <c r="O443" s="8"/>
    </row>
    <row r="444" ht="15.75" customHeight="1">
      <c r="A444" s="9">
        <v>55.0</v>
      </c>
      <c r="B444" s="9" t="s">
        <v>202</v>
      </c>
      <c r="C444" s="9" t="s">
        <v>203</v>
      </c>
      <c r="D444" s="10" t="s">
        <v>11</v>
      </c>
      <c r="E444" s="11" t="s">
        <v>68</v>
      </c>
      <c r="F444" s="12">
        <v>11.92</v>
      </c>
      <c r="G444" s="12">
        <f>F444-'Estatística'!$D$6/'Estatística'!$D$10</f>
        <v>10.91698037</v>
      </c>
      <c r="H444" s="13">
        <v>45009.0</v>
      </c>
      <c r="I444" s="14" t="str">
        <f t="shared" si="1"/>
        <v>mar.</v>
      </c>
      <c r="O444" s="8"/>
    </row>
    <row r="445" ht="15.75" customHeight="1">
      <c r="A445" s="19">
        <v>38.0</v>
      </c>
      <c r="B445" s="19" t="s">
        <v>116</v>
      </c>
      <c r="C445" s="19" t="s">
        <v>117</v>
      </c>
      <c r="D445" s="20" t="s">
        <v>30</v>
      </c>
      <c r="E445" s="21" t="s">
        <v>94</v>
      </c>
      <c r="F445" s="22">
        <v>30.12</v>
      </c>
      <c r="G445" s="22">
        <f>F445-'Estatística'!$D$6/'Estatística'!$D$10</f>
        <v>29.11698037</v>
      </c>
      <c r="H445" s="23">
        <v>45009.0</v>
      </c>
      <c r="I445" s="24" t="str">
        <f t="shared" si="1"/>
        <v>mar.</v>
      </c>
      <c r="O445" s="8"/>
    </row>
    <row r="446" ht="15.75" customHeight="1">
      <c r="A446" s="9">
        <v>57.0</v>
      </c>
      <c r="B446" s="9" t="s">
        <v>92</v>
      </c>
      <c r="C446" s="9" t="s">
        <v>190</v>
      </c>
      <c r="D446" s="10" t="s">
        <v>30</v>
      </c>
      <c r="E446" s="11" t="s">
        <v>46</v>
      </c>
      <c r="F446" s="12">
        <v>13.6</v>
      </c>
      <c r="G446" s="12">
        <f>F446-'Estatística'!$D$6/'Estatística'!$D$10</f>
        <v>12.59698037</v>
      </c>
      <c r="H446" s="13">
        <v>45009.0</v>
      </c>
      <c r="I446" s="14" t="str">
        <f t="shared" si="1"/>
        <v>mar.</v>
      </c>
      <c r="O446" s="8"/>
    </row>
    <row r="447" ht="15.75" customHeight="1">
      <c r="A447" s="19">
        <v>54.0</v>
      </c>
      <c r="B447" s="19" t="s">
        <v>86</v>
      </c>
      <c r="C447" s="19" t="s">
        <v>87</v>
      </c>
      <c r="D447" s="20" t="s">
        <v>11</v>
      </c>
      <c r="E447" s="21" t="s">
        <v>12</v>
      </c>
      <c r="F447" s="22">
        <v>10.33</v>
      </c>
      <c r="G447" s="22">
        <f>F447-'Estatística'!$D$6/'Estatística'!$D$10</f>
        <v>9.326980371</v>
      </c>
      <c r="H447" s="23">
        <v>45009.0</v>
      </c>
      <c r="I447" s="24" t="str">
        <f t="shared" si="1"/>
        <v>mar.</v>
      </c>
      <c r="O447" s="8"/>
    </row>
    <row r="448" ht="15.75" customHeight="1">
      <c r="A448" s="9">
        <v>47.0</v>
      </c>
      <c r="B448" s="9" t="s">
        <v>120</v>
      </c>
      <c r="C448" s="9" t="s">
        <v>121</v>
      </c>
      <c r="D448" s="10" t="s">
        <v>30</v>
      </c>
      <c r="E448" s="11" t="s">
        <v>79</v>
      </c>
      <c r="F448" s="12">
        <v>33.81</v>
      </c>
      <c r="G448" s="12">
        <f>F448-'Estatística'!$D$6/'Estatística'!$D$10</f>
        <v>32.80698037</v>
      </c>
      <c r="H448" s="13">
        <v>45009.0</v>
      </c>
      <c r="I448" s="14" t="str">
        <f t="shared" si="1"/>
        <v>mar.</v>
      </c>
      <c r="O448" s="8"/>
    </row>
    <row r="449" ht="15.75" customHeight="1">
      <c r="A449" s="19">
        <v>10.0</v>
      </c>
      <c r="B449" s="19" t="s">
        <v>148</v>
      </c>
      <c r="C449" s="19" t="s">
        <v>149</v>
      </c>
      <c r="D449" s="20" t="s">
        <v>11</v>
      </c>
      <c r="E449" s="21" t="s">
        <v>68</v>
      </c>
      <c r="F449" s="22">
        <v>19.93</v>
      </c>
      <c r="G449" s="22">
        <f>F449-'Estatística'!$D$6/'Estatística'!$D$10</f>
        <v>18.92698037</v>
      </c>
      <c r="H449" s="23">
        <v>45009.0</v>
      </c>
      <c r="I449" s="24" t="str">
        <f t="shared" si="1"/>
        <v>mar.</v>
      </c>
      <c r="O449" s="8"/>
    </row>
    <row r="450" ht="15.75" customHeight="1">
      <c r="A450" s="9">
        <v>51.0</v>
      </c>
      <c r="B450" s="9" t="s">
        <v>233</v>
      </c>
      <c r="C450" s="9" t="s">
        <v>234</v>
      </c>
      <c r="D450" s="10" t="s">
        <v>11</v>
      </c>
      <c r="E450" s="11" t="s">
        <v>88</v>
      </c>
      <c r="F450" s="12">
        <v>39.75</v>
      </c>
      <c r="G450" s="12">
        <f>F450-'Estatística'!$D$6/'Estatística'!$D$10</f>
        <v>38.74698037</v>
      </c>
      <c r="H450" s="13">
        <v>45009.0</v>
      </c>
      <c r="I450" s="14" t="str">
        <f t="shared" si="1"/>
        <v>mar.</v>
      </c>
      <c r="O450" s="8"/>
    </row>
    <row r="451" ht="15.75" customHeight="1">
      <c r="A451" s="19">
        <v>22.0</v>
      </c>
      <c r="B451" s="19" t="s">
        <v>131</v>
      </c>
      <c r="C451" s="19" t="s">
        <v>132</v>
      </c>
      <c r="D451" s="20" t="s">
        <v>30</v>
      </c>
      <c r="E451" s="21" t="s">
        <v>39</v>
      </c>
      <c r="F451" s="22">
        <v>39.24</v>
      </c>
      <c r="G451" s="22">
        <f>F451-'Estatística'!$D$6/'Estatística'!$D$10</f>
        <v>38.23698037</v>
      </c>
      <c r="H451" s="23">
        <v>45010.0</v>
      </c>
      <c r="I451" s="24" t="str">
        <f t="shared" si="1"/>
        <v>mar.</v>
      </c>
      <c r="O451" s="8"/>
    </row>
    <row r="452" ht="15.75" customHeight="1">
      <c r="A452" s="9">
        <v>42.0</v>
      </c>
      <c r="B452" s="9" t="s">
        <v>92</v>
      </c>
      <c r="C452" s="9" t="s">
        <v>170</v>
      </c>
      <c r="D452" s="10" t="s">
        <v>11</v>
      </c>
      <c r="E452" s="11" t="s">
        <v>56</v>
      </c>
      <c r="F452" s="12">
        <v>75.13</v>
      </c>
      <c r="G452" s="12">
        <f>F452-'Estatística'!$D$6/'Estatística'!$D$10</f>
        <v>74.12698037</v>
      </c>
      <c r="H452" s="13">
        <v>45010.0</v>
      </c>
      <c r="I452" s="14" t="str">
        <f t="shared" si="1"/>
        <v>mar.</v>
      </c>
      <c r="O452" s="8"/>
    </row>
    <row r="453" ht="15.75" customHeight="1">
      <c r="A453" s="19">
        <v>15.0</v>
      </c>
      <c r="B453" s="19" t="s">
        <v>58</v>
      </c>
      <c r="C453" s="19" t="s">
        <v>59</v>
      </c>
      <c r="D453" s="20" t="s">
        <v>11</v>
      </c>
      <c r="E453" s="21" t="s">
        <v>50</v>
      </c>
      <c r="F453" s="22">
        <v>26.54</v>
      </c>
      <c r="G453" s="22">
        <f>F453-'Estatística'!$D$6/'Estatística'!$D$10</f>
        <v>25.53698037</v>
      </c>
      <c r="H453" s="23">
        <v>45010.0</v>
      </c>
      <c r="I453" s="24" t="str">
        <f t="shared" si="1"/>
        <v>mar.</v>
      </c>
      <c r="O453" s="8"/>
    </row>
    <row r="454" ht="15.75" customHeight="1">
      <c r="A454" s="9">
        <v>73.0</v>
      </c>
      <c r="B454" s="9" t="s">
        <v>223</v>
      </c>
      <c r="C454" s="9" t="s">
        <v>224</v>
      </c>
      <c r="D454" s="10" t="s">
        <v>30</v>
      </c>
      <c r="E454" s="11" t="s">
        <v>39</v>
      </c>
      <c r="F454" s="12">
        <v>33.17</v>
      </c>
      <c r="G454" s="12">
        <f>F454-'Estatística'!$D$6/'Estatística'!$D$10</f>
        <v>32.16698037</v>
      </c>
      <c r="H454" s="13">
        <v>45010.0</v>
      </c>
      <c r="I454" s="14" t="str">
        <f t="shared" si="1"/>
        <v>mar.</v>
      </c>
      <c r="O454" s="8"/>
    </row>
    <row r="455" ht="15.75" customHeight="1">
      <c r="A455" s="19">
        <v>33.0</v>
      </c>
      <c r="B455" s="19" t="s">
        <v>191</v>
      </c>
      <c r="C455" s="19" t="s">
        <v>192</v>
      </c>
      <c r="D455" s="20" t="s">
        <v>11</v>
      </c>
      <c r="E455" s="21" t="s">
        <v>85</v>
      </c>
      <c r="F455" s="22">
        <v>15.9</v>
      </c>
      <c r="G455" s="22">
        <f>F455-'Estatística'!$D$6/'Estatística'!$D$10</f>
        <v>14.89698037</v>
      </c>
      <c r="H455" s="23">
        <v>45011.0</v>
      </c>
      <c r="I455" s="24" t="str">
        <f t="shared" si="1"/>
        <v>mar.</v>
      </c>
      <c r="O455" s="8"/>
    </row>
    <row r="456" ht="15.75" customHeight="1">
      <c r="A456" s="9">
        <v>11.0</v>
      </c>
      <c r="B456" s="9" t="s">
        <v>227</v>
      </c>
      <c r="C456" s="9" t="s">
        <v>228</v>
      </c>
      <c r="D456" s="10" t="s">
        <v>30</v>
      </c>
      <c r="E456" s="11" t="s">
        <v>88</v>
      </c>
      <c r="F456" s="12">
        <v>40.46</v>
      </c>
      <c r="G456" s="12">
        <f>F456-'Estatística'!$D$6/'Estatística'!$D$10</f>
        <v>39.45698037</v>
      </c>
      <c r="H456" s="13">
        <v>45011.0</v>
      </c>
      <c r="I456" s="14" t="str">
        <f t="shared" si="1"/>
        <v>mar.</v>
      </c>
      <c r="O456" s="8"/>
    </row>
    <row r="457" ht="15.75" customHeight="1">
      <c r="A457" s="19">
        <v>51.0</v>
      </c>
      <c r="B457" s="19" t="s">
        <v>233</v>
      </c>
      <c r="C457" s="19" t="s">
        <v>234</v>
      </c>
      <c r="D457" s="20" t="s">
        <v>30</v>
      </c>
      <c r="E457" s="21" t="s">
        <v>97</v>
      </c>
      <c r="F457" s="22">
        <v>3.75</v>
      </c>
      <c r="G457" s="22">
        <f>F457-'Estatística'!$D$6/'Estatística'!$D$10</f>
        <v>2.746980371</v>
      </c>
      <c r="H457" s="23">
        <v>45011.0</v>
      </c>
      <c r="I457" s="24" t="str">
        <f t="shared" si="1"/>
        <v>mar.</v>
      </c>
      <c r="O457" s="8"/>
    </row>
    <row r="458" ht="15.75" customHeight="1">
      <c r="A458" s="9">
        <v>43.0</v>
      </c>
      <c r="B458" s="9" t="s">
        <v>95</v>
      </c>
      <c r="C458" s="9" t="s">
        <v>96</v>
      </c>
      <c r="D458" s="10" t="s">
        <v>11</v>
      </c>
      <c r="E458" s="11" t="s">
        <v>94</v>
      </c>
      <c r="F458" s="12">
        <v>32.24</v>
      </c>
      <c r="G458" s="12">
        <f>F458-'Estatística'!$D$6/'Estatística'!$D$10</f>
        <v>31.23698037</v>
      </c>
      <c r="H458" s="13">
        <v>45011.0</v>
      </c>
      <c r="I458" s="14" t="str">
        <f t="shared" si="1"/>
        <v>mar.</v>
      </c>
      <c r="O458" s="8"/>
    </row>
    <row r="459" ht="15.75" customHeight="1">
      <c r="A459" s="19">
        <v>41.0</v>
      </c>
      <c r="B459" s="19" t="s">
        <v>217</v>
      </c>
      <c r="C459" s="19" t="s">
        <v>218</v>
      </c>
      <c r="D459" s="20" t="s">
        <v>11</v>
      </c>
      <c r="E459" s="21" t="s">
        <v>39</v>
      </c>
      <c r="F459" s="22">
        <v>32.82</v>
      </c>
      <c r="G459" s="22">
        <f>F459-'Estatística'!$D$6/'Estatística'!$D$10</f>
        <v>31.81698037</v>
      </c>
      <c r="H459" s="23">
        <v>45011.0</v>
      </c>
      <c r="I459" s="24" t="str">
        <f t="shared" si="1"/>
        <v>mar.</v>
      </c>
      <c r="O459" s="8"/>
    </row>
    <row r="460" ht="15.75" customHeight="1">
      <c r="A460" s="9">
        <v>32.0</v>
      </c>
      <c r="B460" s="9" t="s">
        <v>146</v>
      </c>
      <c r="C460" s="9" t="s">
        <v>147</v>
      </c>
      <c r="D460" s="10" t="s">
        <v>30</v>
      </c>
      <c r="E460" s="11" t="s">
        <v>50</v>
      </c>
      <c r="F460" s="12">
        <v>23.1</v>
      </c>
      <c r="G460" s="12">
        <f>F460-'Estatística'!$D$6/'Estatística'!$D$10</f>
        <v>22.09698037</v>
      </c>
      <c r="H460" s="13">
        <v>45011.0</v>
      </c>
      <c r="I460" s="14" t="str">
        <f t="shared" si="1"/>
        <v>mar.</v>
      </c>
      <c r="O460" s="8"/>
    </row>
    <row r="461" ht="15.75" customHeight="1">
      <c r="A461" s="19">
        <v>66.0</v>
      </c>
      <c r="B461" s="19" t="s">
        <v>150</v>
      </c>
      <c r="C461" s="19" t="s">
        <v>158</v>
      </c>
      <c r="D461" s="20" t="s">
        <v>11</v>
      </c>
      <c r="E461" s="21" t="s">
        <v>94</v>
      </c>
      <c r="F461" s="22">
        <v>28.41</v>
      </c>
      <c r="G461" s="22">
        <f>F461-'Estatística'!$D$6/'Estatística'!$D$10</f>
        <v>27.40698037</v>
      </c>
      <c r="H461" s="23">
        <v>45011.0</v>
      </c>
      <c r="I461" s="24" t="str">
        <f t="shared" si="1"/>
        <v>mar.</v>
      </c>
      <c r="O461" s="8"/>
    </row>
    <row r="462" ht="15.75" customHeight="1">
      <c r="A462" s="9">
        <v>33.0</v>
      </c>
      <c r="B462" s="9" t="s">
        <v>191</v>
      </c>
      <c r="C462" s="9" t="s">
        <v>192</v>
      </c>
      <c r="D462" s="10" t="s">
        <v>30</v>
      </c>
      <c r="E462" s="11" t="s">
        <v>12</v>
      </c>
      <c r="F462" s="12">
        <v>10.76</v>
      </c>
      <c r="G462" s="12">
        <f>F462-'Estatística'!$D$6/'Estatística'!$D$10</f>
        <v>9.756980371</v>
      </c>
      <c r="H462" s="13">
        <v>45011.0</v>
      </c>
      <c r="I462" s="14" t="str">
        <f t="shared" si="1"/>
        <v>mar.</v>
      </c>
      <c r="O462" s="8"/>
    </row>
    <row r="463" ht="15.75" customHeight="1">
      <c r="A463" s="19">
        <v>83.0</v>
      </c>
      <c r="B463" s="19" t="s">
        <v>98</v>
      </c>
      <c r="C463" s="19" t="s">
        <v>99</v>
      </c>
      <c r="D463" s="20" t="s">
        <v>11</v>
      </c>
      <c r="E463" s="21" t="s">
        <v>35</v>
      </c>
      <c r="F463" s="22">
        <v>20.29</v>
      </c>
      <c r="G463" s="22">
        <f>F463-'Estatística'!$D$6/'Estatística'!$D$10</f>
        <v>19.28698037</v>
      </c>
      <c r="H463" s="23">
        <v>45011.0</v>
      </c>
      <c r="I463" s="24" t="str">
        <f t="shared" si="1"/>
        <v>mar.</v>
      </c>
      <c r="O463" s="8"/>
    </row>
    <row r="464" ht="15.75" customHeight="1">
      <c r="A464" s="9">
        <v>81.0</v>
      </c>
      <c r="B464" s="9" t="s">
        <v>54</v>
      </c>
      <c r="C464" s="9" t="s">
        <v>55</v>
      </c>
      <c r="D464" s="10" t="s">
        <v>30</v>
      </c>
      <c r="E464" s="11" t="s">
        <v>82</v>
      </c>
      <c r="F464" s="12">
        <v>15.12</v>
      </c>
      <c r="G464" s="12">
        <f>F464-'Estatística'!$D$6/'Estatística'!$D$10</f>
        <v>14.11698037</v>
      </c>
      <c r="H464" s="13">
        <v>45012.0</v>
      </c>
      <c r="I464" s="14" t="str">
        <f t="shared" si="1"/>
        <v>mar.</v>
      </c>
      <c r="O464" s="8"/>
    </row>
    <row r="465" ht="15.75" customHeight="1">
      <c r="A465" s="19">
        <v>92.0</v>
      </c>
      <c r="B465" s="19" t="s">
        <v>112</v>
      </c>
      <c r="C465" s="19" t="s">
        <v>197</v>
      </c>
      <c r="D465" s="20" t="s">
        <v>30</v>
      </c>
      <c r="E465" s="21" t="s">
        <v>12</v>
      </c>
      <c r="F465" s="22">
        <v>10.68</v>
      </c>
      <c r="G465" s="22">
        <f>F465-'Estatística'!$D$6/'Estatística'!$D$10</f>
        <v>9.676980371</v>
      </c>
      <c r="H465" s="23">
        <v>45012.0</v>
      </c>
      <c r="I465" s="24" t="str">
        <f t="shared" si="1"/>
        <v>mar.</v>
      </c>
      <c r="O465" s="8"/>
    </row>
    <row r="466" ht="15.75" customHeight="1">
      <c r="A466" s="9">
        <v>64.0</v>
      </c>
      <c r="B466" s="9" t="s">
        <v>159</v>
      </c>
      <c r="C466" s="9" t="s">
        <v>160</v>
      </c>
      <c r="D466" s="10" t="s">
        <v>11</v>
      </c>
      <c r="E466" s="11" t="s">
        <v>52</v>
      </c>
      <c r="F466" s="12">
        <v>63.81</v>
      </c>
      <c r="G466" s="12">
        <f>F466-'Estatística'!$D$6/'Estatística'!$D$10</f>
        <v>62.80698037</v>
      </c>
      <c r="H466" s="13">
        <v>45012.0</v>
      </c>
      <c r="I466" s="14" t="str">
        <f t="shared" si="1"/>
        <v>mar.</v>
      </c>
      <c r="O466" s="8"/>
    </row>
    <row r="467" ht="15.75" customHeight="1">
      <c r="A467" s="19">
        <v>96.0</v>
      </c>
      <c r="B467" s="19" t="s">
        <v>163</v>
      </c>
      <c r="C467" s="19" t="s">
        <v>164</v>
      </c>
      <c r="D467" s="20" t="s">
        <v>11</v>
      </c>
      <c r="E467" s="21" t="s">
        <v>50</v>
      </c>
      <c r="F467" s="22">
        <v>30.09</v>
      </c>
      <c r="G467" s="22">
        <f>F467-'Estatística'!$D$6/'Estatística'!$D$10</f>
        <v>29.08698037</v>
      </c>
      <c r="H467" s="23">
        <v>45012.0</v>
      </c>
      <c r="I467" s="24" t="str">
        <f t="shared" si="1"/>
        <v>mar.</v>
      </c>
      <c r="O467" s="8"/>
    </row>
    <row r="468" ht="15.75" customHeight="1">
      <c r="A468" s="9">
        <v>14.0</v>
      </c>
      <c r="B468" s="9" t="s">
        <v>171</v>
      </c>
      <c r="C468" s="9" t="s">
        <v>172</v>
      </c>
      <c r="D468" s="10" t="s">
        <v>30</v>
      </c>
      <c r="E468" s="11" t="s">
        <v>52</v>
      </c>
      <c r="F468" s="12">
        <v>48.93</v>
      </c>
      <c r="G468" s="12">
        <f>F468-'Estatística'!$D$6/'Estatística'!$D$10</f>
        <v>47.92698037</v>
      </c>
      <c r="H468" s="13">
        <v>45012.0</v>
      </c>
      <c r="I468" s="14" t="str">
        <f t="shared" si="1"/>
        <v>mar.</v>
      </c>
      <c r="O468" s="8"/>
    </row>
    <row r="469" ht="15.75" customHeight="1">
      <c r="A469" s="19">
        <v>13.0</v>
      </c>
      <c r="B469" s="19" t="s">
        <v>137</v>
      </c>
      <c r="C469" s="19" t="s">
        <v>138</v>
      </c>
      <c r="D469" s="20" t="s">
        <v>11</v>
      </c>
      <c r="E469" s="21" t="s">
        <v>50</v>
      </c>
      <c r="F469" s="22">
        <v>31.21</v>
      </c>
      <c r="G469" s="22">
        <f>F469-'Estatística'!$D$6/'Estatística'!$D$10</f>
        <v>30.20698037</v>
      </c>
      <c r="H469" s="23">
        <v>45013.0</v>
      </c>
      <c r="I469" s="24" t="str">
        <f t="shared" si="1"/>
        <v>mar.</v>
      </c>
      <c r="O469" s="8"/>
    </row>
    <row r="470" ht="15.75" customHeight="1">
      <c r="A470" s="9">
        <v>59.0</v>
      </c>
      <c r="B470" s="9" t="s">
        <v>103</v>
      </c>
      <c r="C470" s="9" t="s">
        <v>104</v>
      </c>
      <c r="D470" s="10" t="s">
        <v>11</v>
      </c>
      <c r="E470" s="11" t="s">
        <v>88</v>
      </c>
      <c r="F470" s="12">
        <v>40.48</v>
      </c>
      <c r="G470" s="12">
        <f>F470-'Estatística'!$D$6/'Estatística'!$D$10</f>
        <v>39.47698037</v>
      </c>
      <c r="H470" s="13">
        <v>45013.0</v>
      </c>
      <c r="I470" s="14" t="str">
        <f t="shared" si="1"/>
        <v>mar.</v>
      </c>
      <c r="O470" s="8"/>
    </row>
    <row r="471" ht="15.75" customHeight="1">
      <c r="A471" s="19">
        <v>83.0</v>
      </c>
      <c r="B471" s="19" t="s">
        <v>98</v>
      </c>
      <c r="C471" s="19" t="s">
        <v>99</v>
      </c>
      <c r="D471" s="20" t="s">
        <v>11</v>
      </c>
      <c r="E471" s="21" t="s">
        <v>94</v>
      </c>
      <c r="F471" s="22">
        <v>29.55</v>
      </c>
      <c r="G471" s="22">
        <f>F471-'Estatística'!$D$6/'Estatística'!$D$10</f>
        <v>28.54698037</v>
      </c>
      <c r="H471" s="23">
        <v>45013.0</v>
      </c>
      <c r="I471" s="24" t="str">
        <f t="shared" si="1"/>
        <v>mar.</v>
      </c>
      <c r="O471" s="8"/>
    </row>
    <row r="472" ht="15.75" customHeight="1">
      <c r="A472" s="9">
        <v>7.0</v>
      </c>
      <c r="B472" s="9" t="s">
        <v>114</v>
      </c>
      <c r="C472" s="9" t="s">
        <v>115</v>
      </c>
      <c r="D472" s="10" t="s">
        <v>11</v>
      </c>
      <c r="E472" s="11" t="s">
        <v>97</v>
      </c>
      <c r="F472" s="12">
        <v>3.86</v>
      </c>
      <c r="G472" s="12">
        <f>F472-'Estatística'!$D$6/'Estatística'!$D$10</f>
        <v>2.856980371</v>
      </c>
      <c r="H472" s="13">
        <v>45013.0</v>
      </c>
      <c r="I472" s="14" t="str">
        <f t="shared" si="1"/>
        <v>mar.</v>
      </c>
      <c r="O472" s="8"/>
    </row>
    <row r="473" ht="15.75" customHeight="1">
      <c r="A473" s="19">
        <v>96.0</v>
      </c>
      <c r="B473" s="19" t="s">
        <v>163</v>
      </c>
      <c r="C473" s="19" t="s">
        <v>164</v>
      </c>
      <c r="D473" s="20" t="s">
        <v>11</v>
      </c>
      <c r="E473" s="21" t="s">
        <v>35</v>
      </c>
      <c r="F473" s="22">
        <v>18.07</v>
      </c>
      <c r="G473" s="22">
        <f>F473-'Estatística'!$D$6/'Estatística'!$D$10</f>
        <v>17.06698037</v>
      </c>
      <c r="H473" s="23">
        <v>45013.0</v>
      </c>
      <c r="I473" s="24" t="str">
        <f t="shared" si="1"/>
        <v>mar.</v>
      </c>
      <c r="O473" s="8"/>
    </row>
    <row r="474" ht="15.75" customHeight="1">
      <c r="A474" s="9">
        <v>12.0</v>
      </c>
      <c r="B474" s="9" t="s">
        <v>188</v>
      </c>
      <c r="C474" s="9" t="s">
        <v>189</v>
      </c>
      <c r="D474" s="10" t="s">
        <v>30</v>
      </c>
      <c r="E474" s="11" t="s">
        <v>50</v>
      </c>
      <c r="F474" s="12">
        <v>26.02</v>
      </c>
      <c r="G474" s="12">
        <f>F474-'Estatística'!$D$6/'Estatística'!$D$10</f>
        <v>25.01698037</v>
      </c>
      <c r="H474" s="13">
        <v>45018.0</v>
      </c>
      <c r="I474" s="14" t="str">
        <f t="shared" si="1"/>
        <v>abr.</v>
      </c>
      <c r="O474" s="8"/>
    </row>
    <row r="475" ht="15.75" customHeight="1">
      <c r="A475" s="19">
        <v>26.0</v>
      </c>
      <c r="B475" s="19" t="s">
        <v>211</v>
      </c>
      <c r="C475" s="19" t="s">
        <v>212</v>
      </c>
      <c r="D475" s="20" t="s">
        <v>11</v>
      </c>
      <c r="E475" s="21" t="s">
        <v>46</v>
      </c>
      <c r="F475" s="22">
        <v>12.31</v>
      </c>
      <c r="G475" s="22">
        <f>F475-'Estatística'!$D$6/'Estatística'!$D$10</f>
        <v>11.30698037</v>
      </c>
      <c r="H475" s="23">
        <v>45018.0</v>
      </c>
      <c r="I475" s="24" t="str">
        <f t="shared" si="1"/>
        <v>abr.</v>
      </c>
      <c r="O475" s="8"/>
    </row>
    <row r="476" ht="15.75" customHeight="1">
      <c r="A476" s="9">
        <v>13.0</v>
      </c>
      <c r="B476" s="9" t="s">
        <v>137</v>
      </c>
      <c r="C476" s="9" t="s">
        <v>138</v>
      </c>
      <c r="D476" s="10" t="s">
        <v>11</v>
      </c>
      <c r="E476" s="11" t="s">
        <v>31</v>
      </c>
      <c r="F476" s="12">
        <v>40.7</v>
      </c>
      <c r="G476" s="12">
        <f>F476-'Estatística'!$D$6/'Estatística'!$D$10</f>
        <v>39.69698037</v>
      </c>
      <c r="H476" s="13">
        <v>45018.0</v>
      </c>
      <c r="I476" s="14" t="str">
        <f t="shared" si="1"/>
        <v>abr.</v>
      </c>
      <c r="O476" s="8"/>
    </row>
    <row r="477" ht="15.75" customHeight="1">
      <c r="A477" s="19">
        <v>94.0</v>
      </c>
      <c r="B477" s="19" t="s">
        <v>207</v>
      </c>
      <c r="C477" s="19" t="s">
        <v>237</v>
      </c>
      <c r="D477" s="20" t="s">
        <v>30</v>
      </c>
      <c r="E477" s="21" t="s">
        <v>52</v>
      </c>
      <c r="F477" s="22">
        <v>61.78</v>
      </c>
      <c r="G477" s="22">
        <f>F477-'Estatística'!$D$6/'Estatística'!$D$10</f>
        <v>60.77698037</v>
      </c>
      <c r="H477" s="23">
        <v>45018.0</v>
      </c>
      <c r="I477" s="24" t="str">
        <f t="shared" si="1"/>
        <v>abr.</v>
      </c>
      <c r="O477" s="8"/>
    </row>
    <row r="478" ht="15.75" customHeight="1">
      <c r="A478" s="9">
        <v>72.0</v>
      </c>
      <c r="B478" s="9" t="s">
        <v>133</v>
      </c>
      <c r="C478" s="9" t="s">
        <v>134</v>
      </c>
      <c r="D478" s="10" t="s">
        <v>30</v>
      </c>
      <c r="E478" s="11" t="s">
        <v>82</v>
      </c>
      <c r="F478" s="12">
        <v>12.97</v>
      </c>
      <c r="G478" s="12">
        <f>F478-'Estatística'!$D$6/'Estatística'!$D$10</f>
        <v>11.96698037</v>
      </c>
      <c r="H478" s="13">
        <v>45018.0</v>
      </c>
      <c r="I478" s="14" t="str">
        <f t="shared" si="1"/>
        <v>abr.</v>
      </c>
      <c r="O478" s="8"/>
    </row>
    <row r="479" ht="15.75" customHeight="1">
      <c r="A479" s="19">
        <v>27.0</v>
      </c>
      <c r="B479" s="19" t="s">
        <v>173</v>
      </c>
      <c r="C479" s="19" t="s">
        <v>174</v>
      </c>
      <c r="D479" s="20" t="s">
        <v>11</v>
      </c>
      <c r="E479" s="21" t="s">
        <v>39</v>
      </c>
      <c r="F479" s="22">
        <v>21.44</v>
      </c>
      <c r="G479" s="22">
        <f>F479-'Estatística'!$D$6/'Estatística'!$D$10</f>
        <v>20.43698037</v>
      </c>
      <c r="H479" s="23">
        <v>45018.0</v>
      </c>
      <c r="I479" s="24" t="str">
        <f t="shared" si="1"/>
        <v>abr.</v>
      </c>
      <c r="O479" s="8"/>
    </row>
    <row r="480" ht="15.75" customHeight="1">
      <c r="A480" s="9">
        <v>62.0</v>
      </c>
      <c r="B480" s="9" t="s">
        <v>156</v>
      </c>
      <c r="C480" s="9" t="s">
        <v>157</v>
      </c>
      <c r="D480" s="10" t="s">
        <v>11</v>
      </c>
      <c r="E480" s="11" t="s">
        <v>88</v>
      </c>
      <c r="F480" s="12">
        <v>35.34</v>
      </c>
      <c r="G480" s="12">
        <f>F480-'Estatística'!$D$6/'Estatística'!$D$10</f>
        <v>34.33698037</v>
      </c>
      <c r="H480" s="13">
        <v>45018.0</v>
      </c>
      <c r="I480" s="14" t="str">
        <f t="shared" si="1"/>
        <v>abr.</v>
      </c>
      <c r="O480" s="8"/>
    </row>
    <row r="481" ht="15.75" customHeight="1">
      <c r="A481" s="19">
        <v>7.0</v>
      </c>
      <c r="B481" s="19" t="s">
        <v>114</v>
      </c>
      <c r="C481" s="19" t="s">
        <v>115</v>
      </c>
      <c r="D481" s="20" t="s">
        <v>11</v>
      </c>
      <c r="E481" s="21" t="s">
        <v>79</v>
      </c>
      <c r="F481" s="22">
        <v>36.98</v>
      </c>
      <c r="G481" s="22">
        <f>F481-'Estatística'!$D$6/'Estatística'!$D$10</f>
        <v>35.97698037</v>
      </c>
      <c r="H481" s="23">
        <v>45019.0</v>
      </c>
      <c r="I481" s="24" t="str">
        <f t="shared" si="1"/>
        <v>abr.</v>
      </c>
      <c r="O481" s="8"/>
    </row>
    <row r="482" ht="15.75" customHeight="1">
      <c r="A482" s="9">
        <v>14.0</v>
      </c>
      <c r="B482" s="9" t="s">
        <v>171</v>
      </c>
      <c r="C482" s="9" t="s">
        <v>172</v>
      </c>
      <c r="D482" s="10" t="s">
        <v>30</v>
      </c>
      <c r="E482" s="11" t="s">
        <v>31</v>
      </c>
      <c r="F482" s="12">
        <v>44.33</v>
      </c>
      <c r="G482" s="12">
        <f>F482-'Estatística'!$D$6/'Estatística'!$D$10</f>
        <v>43.32698037</v>
      </c>
      <c r="H482" s="13">
        <v>45019.0</v>
      </c>
      <c r="I482" s="14" t="str">
        <f t="shared" si="1"/>
        <v>abr.</v>
      </c>
      <c r="O482" s="8"/>
    </row>
    <row r="483" ht="15.75" customHeight="1">
      <c r="A483" s="19">
        <v>78.0</v>
      </c>
      <c r="B483" s="19" t="s">
        <v>28</v>
      </c>
      <c r="C483" s="19" t="s">
        <v>29</v>
      </c>
      <c r="D483" s="20" t="s">
        <v>30</v>
      </c>
      <c r="E483" s="21" t="s">
        <v>31</v>
      </c>
      <c r="F483" s="22">
        <v>53.45</v>
      </c>
      <c r="G483" s="22">
        <f>F483-'Estatística'!$D$6/'Estatística'!$D$10</f>
        <v>52.44698037</v>
      </c>
      <c r="H483" s="23">
        <v>45019.0</v>
      </c>
      <c r="I483" s="24" t="str">
        <f t="shared" si="1"/>
        <v>abr.</v>
      </c>
      <c r="O483" s="8"/>
    </row>
    <row r="484" ht="15.75" customHeight="1">
      <c r="A484" s="9">
        <v>60.0</v>
      </c>
      <c r="B484" s="9" t="s">
        <v>65</v>
      </c>
      <c r="C484" s="9" t="s">
        <v>66</v>
      </c>
      <c r="D484" s="10" t="s">
        <v>30</v>
      </c>
      <c r="E484" s="11" t="s">
        <v>72</v>
      </c>
      <c r="F484" s="12">
        <v>23.22</v>
      </c>
      <c r="G484" s="12">
        <f>F484-'Estatística'!$D$6/'Estatística'!$D$10</f>
        <v>22.21698037</v>
      </c>
      <c r="H484" s="13">
        <v>45019.0</v>
      </c>
      <c r="I484" s="14" t="str">
        <f t="shared" si="1"/>
        <v>abr.</v>
      </c>
      <c r="O484" s="8"/>
    </row>
    <row r="485" ht="15.75" customHeight="1">
      <c r="A485" s="19">
        <v>12.0</v>
      </c>
      <c r="B485" s="19" t="s">
        <v>188</v>
      </c>
      <c r="C485" s="19" t="s">
        <v>189</v>
      </c>
      <c r="D485" s="20" t="s">
        <v>11</v>
      </c>
      <c r="E485" s="21" t="s">
        <v>52</v>
      </c>
      <c r="F485" s="22">
        <v>60.36</v>
      </c>
      <c r="G485" s="22">
        <f>F485-'Estatística'!$D$6/'Estatística'!$D$10</f>
        <v>59.35698037</v>
      </c>
      <c r="H485" s="23">
        <v>45019.0</v>
      </c>
      <c r="I485" s="24" t="str">
        <f t="shared" si="1"/>
        <v>abr.</v>
      </c>
      <c r="O485" s="8"/>
    </row>
    <row r="486" ht="15.75" customHeight="1">
      <c r="A486" s="9">
        <v>92.0</v>
      </c>
      <c r="B486" s="9" t="s">
        <v>112</v>
      </c>
      <c r="C486" s="9" t="s">
        <v>197</v>
      </c>
      <c r="D486" s="10" t="s">
        <v>30</v>
      </c>
      <c r="E486" s="11" t="s">
        <v>91</v>
      </c>
      <c r="F486" s="12">
        <v>1.76</v>
      </c>
      <c r="G486" s="12">
        <f>F486-'Estatística'!$D$6/'Estatística'!$D$10</f>
        <v>0.7569803714</v>
      </c>
      <c r="H486" s="13">
        <v>45020.0</v>
      </c>
      <c r="I486" s="14" t="str">
        <f t="shared" si="1"/>
        <v>abr.</v>
      </c>
      <c r="O486" s="8"/>
    </row>
    <row r="487" ht="15.75" customHeight="1">
      <c r="A487" s="19">
        <v>95.0</v>
      </c>
      <c r="B487" s="19" t="s">
        <v>110</v>
      </c>
      <c r="C487" s="19" t="s">
        <v>111</v>
      </c>
      <c r="D487" s="20" t="s">
        <v>30</v>
      </c>
      <c r="E487" s="21" t="s">
        <v>97</v>
      </c>
      <c r="F487" s="22">
        <v>5.32</v>
      </c>
      <c r="G487" s="22">
        <f>F487-'Estatística'!$D$6/'Estatística'!$D$10</f>
        <v>4.316980371</v>
      </c>
      <c r="H487" s="23">
        <v>45020.0</v>
      </c>
      <c r="I487" s="24" t="str">
        <f t="shared" si="1"/>
        <v>abr.</v>
      </c>
      <c r="O487" s="8"/>
    </row>
    <row r="488" ht="15.75" customHeight="1">
      <c r="A488" s="9">
        <v>13.0</v>
      </c>
      <c r="B488" s="9" t="s">
        <v>137</v>
      </c>
      <c r="C488" s="9" t="s">
        <v>138</v>
      </c>
      <c r="D488" s="10" t="s">
        <v>11</v>
      </c>
      <c r="E488" s="11" t="s">
        <v>31</v>
      </c>
      <c r="F488" s="12">
        <v>48.33</v>
      </c>
      <c r="G488" s="12">
        <f>F488-'Estatística'!$D$6/'Estatística'!$D$10</f>
        <v>47.32698037</v>
      </c>
      <c r="H488" s="13">
        <v>45020.0</v>
      </c>
      <c r="I488" s="14" t="str">
        <f t="shared" si="1"/>
        <v>abr.</v>
      </c>
      <c r="O488" s="8"/>
    </row>
    <row r="489" ht="15.75" customHeight="1">
      <c r="A489" s="19">
        <v>75.0</v>
      </c>
      <c r="B489" s="19" t="s">
        <v>238</v>
      </c>
      <c r="C489" s="19" t="s">
        <v>239</v>
      </c>
      <c r="D489" s="20" t="s">
        <v>30</v>
      </c>
      <c r="E489" s="21" t="s">
        <v>56</v>
      </c>
      <c r="F489" s="22">
        <v>72.29</v>
      </c>
      <c r="G489" s="22">
        <f>F489-'Estatística'!$D$6/'Estatística'!$D$10</f>
        <v>71.28698037</v>
      </c>
      <c r="H489" s="23">
        <v>45021.0</v>
      </c>
      <c r="I489" s="24" t="str">
        <f t="shared" si="1"/>
        <v>abr.</v>
      </c>
      <c r="O489" s="8"/>
    </row>
    <row r="490" ht="15.75" customHeight="1">
      <c r="A490" s="9">
        <v>25.0</v>
      </c>
      <c r="B490" s="9" t="s">
        <v>154</v>
      </c>
      <c r="C490" s="9" t="s">
        <v>155</v>
      </c>
      <c r="D490" s="10" t="s">
        <v>30</v>
      </c>
      <c r="E490" s="11" t="s">
        <v>94</v>
      </c>
      <c r="F490" s="12">
        <v>29.06</v>
      </c>
      <c r="G490" s="12">
        <f>F490-'Estatística'!$D$6/'Estatística'!$D$10</f>
        <v>28.05698037</v>
      </c>
      <c r="H490" s="13">
        <v>45021.0</v>
      </c>
      <c r="I490" s="14" t="str">
        <f t="shared" si="1"/>
        <v>abr.</v>
      </c>
      <c r="O490" s="8"/>
    </row>
    <row r="491" ht="15.75" customHeight="1">
      <c r="A491" s="19">
        <v>25.0</v>
      </c>
      <c r="B491" s="19" t="s">
        <v>154</v>
      </c>
      <c r="C491" s="19" t="s">
        <v>155</v>
      </c>
      <c r="D491" s="20" t="s">
        <v>30</v>
      </c>
      <c r="E491" s="21" t="s">
        <v>85</v>
      </c>
      <c r="F491" s="22">
        <v>13.74</v>
      </c>
      <c r="G491" s="22">
        <f>F491-'Estatística'!$D$6/'Estatística'!$D$10</f>
        <v>12.73698037</v>
      </c>
      <c r="H491" s="23">
        <v>45021.0</v>
      </c>
      <c r="I491" s="24" t="str">
        <f t="shared" si="1"/>
        <v>abr.</v>
      </c>
      <c r="O491" s="8"/>
    </row>
    <row r="492" ht="15.75" customHeight="1">
      <c r="A492" s="9">
        <v>52.0</v>
      </c>
      <c r="B492" s="9" t="s">
        <v>181</v>
      </c>
      <c r="C492" s="9" t="s">
        <v>182</v>
      </c>
      <c r="D492" s="10" t="s">
        <v>30</v>
      </c>
      <c r="E492" s="11" t="s">
        <v>31</v>
      </c>
      <c r="F492" s="12">
        <v>47.76</v>
      </c>
      <c r="G492" s="12">
        <f>F492-'Estatística'!$D$6/'Estatística'!$D$10</f>
        <v>46.75698037</v>
      </c>
      <c r="H492" s="13">
        <v>45021.0</v>
      </c>
      <c r="I492" s="14" t="str">
        <f t="shared" si="1"/>
        <v>abr.</v>
      </c>
      <c r="O492" s="8"/>
    </row>
    <row r="493" ht="15.75" customHeight="1">
      <c r="A493" s="19">
        <v>25.0</v>
      </c>
      <c r="B493" s="19" t="s">
        <v>154</v>
      </c>
      <c r="C493" s="19" t="s">
        <v>155</v>
      </c>
      <c r="D493" s="20" t="s">
        <v>11</v>
      </c>
      <c r="E493" s="21" t="s">
        <v>94</v>
      </c>
      <c r="F493" s="22">
        <v>29.3</v>
      </c>
      <c r="G493" s="22">
        <f>F493-'Estatística'!$D$6/'Estatística'!$D$10</f>
        <v>28.29698037</v>
      </c>
      <c r="H493" s="23">
        <v>45022.0</v>
      </c>
      <c r="I493" s="24" t="str">
        <f t="shared" si="1"/>
        <v>abr.</v>
      </c>
      <c r="O493" s="8"/>
    </row>
    <row r="494" ht="15.75" customHeight="1">
      <c r="A494" s="9">
        <v>13.0</v>
      </c>
      <c r="B494" s="9" t="s">
        <v>137</v>
      </c>
      <c r="C494" s="9" t="s">
        <v>138</v>
      </c>
      <c r="D494" s="10" t="s">
        <v>11</v>
      </c>
      <c r="E494" s="11" t="s">
        <v>39</v>
      </c>
      <c r="F494" s="12">
        <v>40.02</v>
      </c>
      <c r="G494" s="12">
        <f>F494-'Estatística'!$D$6/'Estatística'!$D$10</f>
        <v>39.01698037</v>
      </c>
      <c r="H494" s="13">
        <v>45022.0</v>
      </c>
      <c r="I494" s="14" t="str">
        <f t="shared" si="1"/>
        <v>abr.</v>
      </c>
      <c r="O494" s="8"/>
    </row>
    <row r="495" ht="15.75" customHeight="1">
      <c r="A495" s="19">
        <v>100.0</v>
      </c>
      <c r="B495" s="19" t="s">
        <v>48</v>
      </c>
      <c r="C495" s="19" t="s">
        <v>49</v>
      </c>
      <c r="D495" s="20" t="s">
        <v>30</v>
      </c>
      <c r="E495" s="21" t="s">
        <v>85</v>
      </c>
      <c r="F495" s="22">
        <v>14.72</v>
      </c>
      <c r="G495" s="22">
        <f>F495-'Estatística'!$D$6/'Estatística'!$D$10</f>
        <v>13.71698037</v>
      </c>
      <c r="H495" s="23">
        <v>45022.0</v>
      </c>
      <c r="I495" s="24" t="str">
        <f t="shared" si="1"/>
        <v>abr.</v>
      </c>
      <c r="O495" s="8"/>
    </row>
    <row r="496" ht="15.75" customHeight="1">
      <c r="A496" s="9">
        <v>73.0</v>
      </c>
      <c r="B496" s="9" t="s">
        <v>223</v>
      </c>
      <c r="C496" s="9" t="s">
        <v>224</v>
      </c>
      <c r="D496" s="10" t="s">
        <v>11</v>
      </c>
      <c r="E496" s="11" t="s">
        <v>12</v>
      </c>
      <c r="F496" s="12">
        <v>10.71</v>
      </c>
      <c r="G496" s="12">
        <f>F496-'Estatística'!$D$6/'Estatística'!$D$10</f>
        <v>9.706980371</v>
      </c>
      <c r="H496" s="13">
        <v>45022.0</v>
      </c>
      <c r="I496" s="14" t="str">
        <f t="shared" si="1"/>
        <v>abr.</v>
      </c>
      <c r="O496" s="8"/>
    </row>
    <row r="497" ht="15.75" customHeight="1">
      <c r="A497" s="19">
        <v>28.0</v>
      </c>
      <c r="B497" s="19" t="s">
        <v>77</v>
      </c>
      <c r="C497" s="19" t="s">
        <v>78</v>
      </c>
      <c r="D497" s="20" t="s">
        <v>30</v>
      </c>
      <c r="E497" s="21" t="s">
        <v>94</v>
      </c>
      <c r="F497" s="22">
        <v>27.47</v>
      </c>
      <c r="G497" s="22">
        <f>F497-'Estatística'!$D$6/'Estatística'!$D$10</f>
        <v>26.46698037</v>
      </c>
      <c r="H497" s="23">
        <v>45022.0</v>
      </c>
      <c r="I497" s="24" t="str">
        <f t="shared" si="1"/>
        <v>abr.</v>
      </c>
      <c r="O497" s="8"/>
    </row>
    <row r="498" ht="15.75" customHeight="1">
      <c r="A498" s="9">
        <v>26.0</v>
      </c>
      <c r="B498" s="9" t="s">
        <v>211</v>
      </c>
      <c r="C498" s="9" t="s">
        <v>212</v>
      </c>
      <c r="D498" s="10" t="s">
        <v>11</v>
      </c>
      <c r="E498" s="11" t="s">
        <v>56</v>
      </c>
      <c r="F498" s="12">
        <v>69.47</v>
      </c>
      <c r="G498" s="12">
        <f>F498-'Estatística'!$D$6/'Estatística'!$D$10</f>
        <v>68.46698037</v>
      </c>
      <c r="H498" s="13">
        <v>45023.0</v>
      </c>
      <c r="I498" s="14" t="str">
        <f t="shared" si="1"/>
        <v>abr.</v>
      </c>
      <c r="O498" s="8"/>
    </row>
    <row r="499" ht="15.75" customHeight="1">
      <c r="A499" s="19">
        <v>63.0</v>
      </c>
      <c r="B499" s="19" t="s">
        <v>225</v>
      </c>
      <c r="C499" s="19" t="s">
        <v>226</v>
      </c>
      <c r="D499" s="20" t="s">
        <v>11</v>
      </c>
      <c r="E499" s="21" t="s">
        <v>46</v>
      </c>
      <c r="F499" s="22">
        <v>12.61</v>
      </c>
      <c r="G499" s="22">
        <f>F499-'Estatística'!$D$6/'Estatística'!$D$10</f>
        <v>11.60698037</v>
      </c>
      <c r="H499" s="23">
        <v>45023.0</v>
      </c>
      <c r="I499" s="24" t="str">
        <f t="shared" si="1"/>
        <v>abr.</v>
      </c>
      <c r="O499" s="8"/>
    </row>
    <row r="500" ht="15.75" customHeight="1">
      <c r="A500" s="9">
        <v>24.0</v>
      </c>
      <c r="B500" s="9" t="s">
        <v>139</v>
      </c>
      <c r="C500" s="9" t="s">
        <v>140</v>
      </c>
      <c r="D500" s="10" t="s">
        <v>11</v>
      </c>
      <c r="E500" s="11" t="s">
        <v>76</v>
      </c>
      <c r="F500" s="12">
        <v>11.54</v>
      </c>
      <c r="G500" s="12">
        <f>F500-'Estatística'!$D$6/'Estatística'!$D$10</f>
        <v>10.53698037</v>
      </c>
      <c r="H500" s="13">
        <v>45023.0</v>
      </c>
      <c r="I500" s="14" t="str">
        <f t="shared" si="1"/>
        <v>abr.</v>
      </c>
      <c r="O500" s="8"/>
    </row>
    <row r="501" ht="15.75" customHeight="1">
      <c r="A501" s="19">
        <v>37.0</v>
      </c>
      <c r="B501" s="19" t="s">
        <v>245</v>
      </c>
      <c r="C501" s="19" t="s">
        <v>246</v>
      </c>
      <c r="D501" s="20" t="s">
        <v>30</v>
      </c>
      <c r="E501" s="21" t="s">
        <v>46</v>
      </c>
      <c r="F501" s="22">
        <v>13.33</v>
      </c>
      <c r="G501" s="22">
        <f>F501-'Estatística'!$D$6/'Estatística'!$D$10</f>
        <v>12.32698037</v>
      </c>
      <c r="H501" s="23">
        <v>45023.0</v>
      </c>
      <c r="I501" s="24" t="str">
        <f t="shared" si="1"/>
        <v>abr.</v>
      </c>
      <c r="O501" s="8"/>
    </row>
    <row r="502" ht="15.75" customHeight="1">
      <c r="A502" s="9">
        <v>46.0</v>
      </c>
      <c r="B502" s="9" t="s">
        <v>143</v>
      </c>
      <c r="C502" s="9" t="s">
        <v>144</v>
      </c>
      <c r="D502" s="10" t="s">
        <v>11</v>
      </c>
      <c r="E502" s="11" t="s">
        <v>68</v>
      </c>
      <c r="F502" s="12">
        <v>17.54</v>
      </c>
      <c r="G502" s="12">
        <f>F502-'Estatística'!$D$6/'Estatística'!$D$10</f>
        <v>16.53698037</v>
      </c>
      <c r="H502" s="13">
        <v>45023.0</v>
      </c>
      <c r="I502" s="14" t="str">
        <f t="shared" si="1"/>
        <v>abr.</v>
      </c>
      <c r="O502" s="8"/>
    </row>
    <row r="503" ht="15.75" customHeight="1">
      <c r="A503" s="19">
        <v>91.0</v>
      </c>
      <c r="B503" s="19" t="s">
        <v>112</v>
      </c>
      <c r="C503" s="19" t="s">
        <v>113</v>
      </c>
      <c r="D503" s="20" t="s">
        <v>30</v>
      </c>
      <c r="E503" s="21" t="s">
        <v>35</v>
      </c>
      <c r="F503" s="22">
        <v>14.63</v>
      </c>
      <c r="G503" s="22">
        <f>F503-'Estatística'!$D$6/'Estatística'!$D$10</f>
        <v>13.62698037</v>
      </c>
      <c r="H503" s="23">
        <v>45023.0</v>
      </c>
      <c r="I503" s="24" t="str">
        <f t="shared" si="1"/>
        <v>abr.</v>
      </c>
      <c r="O503" s="8"/>
    </row>
    <row r="504" ht="15.75" customHeight="1">
      <c r="A504" s="9">
        <v>27.0</v>
      </c>
      <c r="B504" s="9" t="s">
        <v>173</v>
      </c>
      <c r="C504" s="9" t="s">
        <v>174</v>
      </c>
      <c r="D504" s="10" t="s">
        <v>11</v>
      </c>
      <c r="E504" s="11" t="s">
        <v>82</v>
      </c>
      <c r="F504" s="12">
        <v>11.56</v>
      </c>
      <c r="G504" s="12">
        <f>F504-'Estatística'!$D$6/'Estatística'!$D$10</f>
        <v>10.55698037</v>
      </c>
      <c r="H504" s="13">
        <v>45023.0</v>
      </c>
      <c r="I504" s="14" t="str">
        <f t="shared" si="1"/>
        <v>abr.</v>
      </c>
      <c r="O504" s="8"/>
    </row>
    <row r="505" ht="15.75" customHeight="1">
      <c r="A505" s="19">
        <v>6.0</v>
      </c>
      <c r="B505" s="19" t="s">
        <v>183</v>
      </c>
      <c r="C505" s="19" t="s">
        <v>184</v>
      </c>
      <c r="D505" s="20" t="s">
        <v>30</v>
      </c>
      <c r="E505" s="21" t="s">
        <v>60</v>
      </c>
      <c r="F505" s="22">
        <v>56.69</v>
      </c>
      <c r="G505" s="22">
        <f>F505-'Estatística'!$D$6/'Estatística'!$D$10</f>
        <v>55.68698037</v>
      </c>
      <c r="H505" s="23">
        <v>45023.0</v>
      </c>
      <c r="I505" s="24" t="str">
        <f t="shared" si="1"/>
        <v>abr.</v>
      </c>
      <c r="O505" s="8"/>
    </row>
    <row r="506" ht="15.75" customHeight="1">
      <c r="A506" s="9">
        <v>67.0</v>
      </c>
      <c r="B506" s="9" t="s">
        <v>204</v>
      </c>
      <c r="C506" s="9" t="s">
        <v>205</v>
      </c>
      <c r="D506" s="10" t="s">
        <v>30</v>
      </c>
      <c r="E506" s="11" t="s">
        <v>39</v>
      </c>
      <c r="F506" s="12">
        <v>27.29</v>
      </c>
      <c r="G506" s="12">
        <f>F506-'Estatística'!$D$6/'Estatística'!$D$10</f>
        <v>26.28698037</v>
      </c>
      <c r="H506" s="13">
        <v>45023.0</v>
      </c>
      <c r="I506" s="14" t="str">
        <f t="shared" si="1"/>
        <v>abr.</v>
      </c>
      <c r="O506" s="8"/>
    </row>
    <row r="507" ht="15.75" customHeight="1">
      <c r="A507" s="19">
        <v>49.0</v>
      </c>
      <c r="B507" s="19" t="s">
        <v>179</v>
      </c>
      <c r="C507" s="19" t="s">
        <v>180</v>
      </c>
      <c r="D507" s="20" t="s">
        <v>11</v>
      </c>
      <c r="E507" s="21" t="s">
        <v>88</v>
      </c>
      <c r="F507" s="22">
        <v>33.94</v>
      </c>
      <c r="G507" s="22">
        <f>F507-'Estatística'!$D$6/'Estatística'!$D$10</f>
        <v>32.93698037</v>
      </c>
      <c r="H507" s="23">
        <v>45024.0</v>
      </c>
      <c r="I507" s="24" t="str">
        <f t="shared" si="1"/>
        <v>abr.</v>
      </c>
      <c r="O507" s="8"/>
    </row>
    <row r="508" ht="15.75" customHeight="1">
      <c r="A508" s="9">
        <v>92.0</v>
      </c>
      <c r="B508" s="9" t="s">
        <v>112</v>
      </c>
      <c r="C508" s="9" t="s">
        <v>197</v>
      </c>
      <c r="D508" s="10" t="s">
        <v>30</v>
      </c>
      <c r="E508" s="11" t="s">
        <v>56</v>
      </c>
      <c r="F508" s="12">
        <v>61.07</v>
      </c>
      <c r="G508" s="12">
        <f>F508-'Estatística'!$D$6/'Estatística'!$D$10</f>
        <v>60.06698037</v>
      </c>
      <c r="H508" s="13">
        <v>45024.0</v>
      </c>
      <c r="I508" s="14" t="str">
        <f t="shared" si="1"/>
        <v>abr.</v>
      </c>
      <c r="O508" s="8"/>
    </row>
    <row r="509" ht="15.75" customHeight="1">
      <c r="A509" s="19">
        <v>82.0</v>
      </c>
      <c r="B509" s="19" t="s">
        <v>231</v>
      </c>
      <c r="C509" s="19" t="s">
        <v>232</v>
      </c>
      <c r="D509" s="20" t="s">
        <v>30</v>
      </c>
      <c r="E509" s="21" t="s">
        <v>94</v>
      </c>
      <c r="F509" s="22">
        <v>26.42</v>
      </c>
      <c r="G509" s="22">
        <f>F509-'Estatística'!$D$6/'Estatística'!$D$10</f>
        <v>25.41698037</v>
      </c>
      <c r="H509" s="23">
        <v>45024.0</v>
      </c>
      <c r="I509" s="24" t="str">
        <f t="shared" si="1"/>
        <v>abr.</v>
      </c>
      <c r="O509" s="8"/>
    </row>
    <row r="510" ht="15.75" customHeight="1">
      <c r="A510" s="9">
        <v>42.0</v>
      </c>
      <c r="B510" s="9" t="s">
        <v>92</v>
      </c>
      <c r="C510" s="9" t="s">
        <v>170</v>
      </c>
      <c r="D510" s="10" t="s">
        <v>11</v>
      </c>
      <c r="E510" s="11" t="s">
        <v>97</v>
      </c>
      <c r="F510" s="12">
        <v>5.31</v>
      </c>
      <c r="G510" s="12">
        <f>F510-'Estatística'!$D$6/'Estatística'!$D$10</f>
        <v>4.306980371</v>
      </c>
      <c r="H510" s="13">
        <v>45024.0</v>
      </c>
      <c r="I510" s="14" t="str">
        <f t="shared" si="1"/>
        <v>abr.</v>
      </c>
      <c r="O510" s="8"/>
    </row>
    <row r="511" ht="15.75" customHeight="1">
      <c r="A511" s="19">
        <v>29.0</v>
      </c>
      <c r="B511" s="19" t="s">
        <v>122</v>
      </c>
      <c r="C511" s="19" t="s">
        <v>123</v>
      </c>
      <c r="D511" s="20" t="s">
        <v>30</v>
      </c>
      <c r="E511" s="21" t="s">
        <v>91</v>
      </c>
      <c r="F511" s="22">
        <v>1.49</v>
      </c>
      <c r="G511" s="22">
        <f>F511-'Estatística'!$D$6/'Estatística'!$D$10</f>
        <v>0.4869803714</v>
      </c>
      <c r="H511" s="23">
        <v>45024.0</v>
      </c>
      <c r="I511" s="24" t="str">
        <f t="shared" si="1"/>
        <v>abr.</v>
      </c>
      <c r="O511" s="8"/>
    </row>
    <row r="512" ht="15.75" customHeight="1">
      <c r="A512" s="9">
        <v>74.0</v>
      </c>
      <c r="B512" s="9" t="s">
        <v>9</v>
      </c>
      <c r="C512" s="9" t="s">
        <v>124</v>
      </c>
      <c r="D512" s="10" t="s">
        <v>30</v>
      </c>
      <c r="E512" s="11" t="s">
        <v>39</v>
      </c>
      <c r="F512" s="12">
        <v>34.95</v>
      </c>
      <c r="G512" s="12">
        <f>F512-'Estatística'!$D$6/'Estatística'!$D$10</f>
        <v>33.94698037</v>
      </c>
      <c r="H512" s="13">
        <v>45024.0</v>
      </c>
      <c r="I512" s="14" t="str">
        <f t="shared" si="1"/>
        <v>abr.</v>
      </c>
      <c r="O512" s="8"/>
    </row>
    <row r="513" ht="15.75" customHeight="1">
      <c r="A513" s="19">
        <v>99.0</v>
      </c>
      <c r="B513" s="19" t="s">
        <v>73</v>
      </c>
      <c r="C513" s="19" t="s">
        <v>74</v>
      </c>
      <c r="D513" s="20" t="s">
        <v>11</v>
      </c>
      <c r="E513" s="21" t="s">
        <v>72</v>
      </c>
      <c r="F513" s="22">
        <v>23.66</v>
      </c>
      <c r="G513" s="22">
        <f>F513-'Estatística'!$D$6/'Estatística'!$D$10</f>
        <v>22.65698037</v>
      </c>
      <c r="H513" s="23">
        <v>45024.0</v>
      </c>
      <c r="I513" s="24" t="str">
        <f t="shared" si="1"/>
        <v>abr.</v>
      </c>
      <c r="O513" s="8"/>
    </row>
    <row r="514" ht="15.75" customHeight="1">
      <c r="A514" s="9">
        <v>34.0</v>
      </c>
      <c r="B514" s="9" t="s">
        <v>177</v>
      </c>
      <c r="C514" s="9" t="s">
        <v>178</v>
      </c>
      <c r="D514" s="10" t="s">
        <v>11</v>
      </c>
      <c r="E514" s="11" t="s">
        <v>68</v>
      </c>
      <c r="F514" s="12">
        <v>10.41</v>
      </c>
      <c r="G514" s="12">
        <f>F514-'Estatística'!$D$6/'Estatística'!$D$10</f>
        <v>9.406980371</v>
      </c>
      <c r="H514" s="13">
        <v>45025.0</v>
      </c>
      <c r="I514" s="14" t="str">
        <f t="shared" si="1"/>
        <v>abr.</v>
      </c>
      <c r="O514" s="8"/>
    </row>
    <row r="515" ht="15.75" customHeight="1">
      <c r="A515" s="19">
        <v>97.0</v>
      </c>
      <c r="B515" s="19" t="s">
        <v>69</v>
      </c>
      <c r="C515" s="19" t="s">
        <v>70</v>
      </c>
      <c r="D515" s="20" t="s">
        <v>11</v>
      </c>
      <c r="E515" s="21" t="s">
        <v>68</v>
      </c>
      <c r="F515" s="22">
        <v>8.93</v>
      </c>
      <c r="G515" s="22">
        <f>F515-'Estatística'!$D$6/'Estatística'!$D$10</f>
        <v>7.926980371</v>
      </c>
      <c r="H515" s="23">
        <v>45025.0</v>
      </c>
      <c r="I515" s="24" t="str">
        <f t="shared" si="1"/>
        <v>abr.</v>
      </c>
      <c r="O515" s="8"/>
    </row>
    <row r="516" ht="15.75" customHeight="1">
      <c r="A516" s="9">
        <v>55.0</v>
      </c>
      <c r="B516" s="9" t="s">
        <v>202</v>
      </c>
      <c r="C516" s="9" t="s">
        <v>203</v>
      </c>
      <c r="D516" s="10" t="s">
        <v>11</v>
      </c>
      <c r="E516" s="11" t="s">
        <v>72</v>
      </c>
      <c r="F516" s="12">
        <v>23.22</v>
      </c>
      <c r="G516" s="12">
        <f>F516-'Estatística'!$D$6/'Estatística'!$D$10</f>
        <v>22.21698037</v>
      </c>
      <c r="H516" s="13">
        <v>45025.0</v>
      </c>
      <c r="I516" s="14" t="str">
        <f t="shared" si="1"/>
        <v>abr.</v>
      </c>
      <c r="O516" s="8"/>
    </row>
    <row r="517" ht="15.75" customHeight="1">
      <c r="A517" s="19">
        <v>63.0</v>
      </c>
      <c r="B517" s="19" t="s">
        <v>225</v>
      </c>
      <c r="C517" s="19" t="s">
        <v>226</v>
      </c>
      <c r="D517" s="20" t="s">
        <v>11</v>
      </c>
      <c r="E517" s="21" t="s">
        <v>46</v>
      </c>
      <c r="F517" s="22">
        <v>13.47</v>
      </c>
      <c r="G517" s="22">
        <f>F517-'Estatística'!$D$6/'Estatística'!$D$10</f>
        <v>12.46698037</v>
      </c>
      <c r="H517" s="23">
        <v>45025.0</v>
      </c>
      <c r="I517" s="24" t="str">
        <f t="shared" si="1"/>
        <v>abr.</v>
      </c>
      <c r="O517" s="8"/>
    </row>
    <row r="518" ht="15.75" customHeight="1">
      <c r="A518" s="9">
        <v>23.0</v>
      </c>
      <c r="B518" s="9" t="s">
        <v>235</v>
      </c>
      <c r="C518" s="9" t="s">
        <v>236</v>
      </c>
      <c r="D518" s="10" t="s">
        <v>11</v>
      </c>
      <c r="E518" s="11" t="s">
        <v>76</v>
      </c>
      <c r="F518" s="12">
        <v>11.52</v>
      </c>
      <c r="G518" s="12">
        <f>F518-'Estatística'!$D$6/'Estatística'!$D$10</f>
        <v>10.51698037</v>
      </c>
      <c r="H518" s="13">
        <v>45026.0</v>
      </c>
      <c r="I518" s="14" t="str">
        <f t="shared" si="1"/>
        <v>abr.</v>
      </c>
      <c r="O518" s="8"/>
    </row>
    <row r="519" ht="15.75" customHeight="1">
      <c r="A519" s="19">
        <v>89.0</v>
      </c>
      <c r="B519" s="19" t="s">
        <v>135</v>
      </c>
      <c r="C519" s="19" t="s">
        <v>136</v>
      </c>
      <c r="D519" s="20" t="s">
        <v>11</v>
      </c>
      <c r="E519" s="21" t="s">
        <v>97</v>
      </c>
      <c r="F519" s="22">
        <v>4.62</v>
      </c>
      <c r="G519" s="22">
        <f>F519-'Estatística'!$D$6/'Estatística'!$D$10</f>
        <v>3.616980371</v>
      </c>
      <c r="H519" s="23">
        <v>45026.0</v>
      </c>
      <c r="I519" s="24" t="str">
        <f t="shared" si="1"/>
        <v>abr.</v>
      </c>
      <c r="O519" s="8"/>
    </row>
    <row r="520" ht="15.75" customHeight="1">
      <c r="A520" s="9">
        <v>69.0</v>
      </c>
      <c r="B520" s="9" t="s">
        <v>108</v>
      </c>
      <c r="C520" s="9" t="s">
        <v>145</v>
      </c>
      <c r="D520" s="10" t="s">
        <v>11</v>
      </c>
      <c r="E520" s="11" t="s">
        <v>72</v>
      </c>
      <c r="F520" s="12">
        <v>14.49</v>
      </c>
      <c r="G520" s="12">
        <f>F520-'Estatística'!$D$6/'Estatística'!$D$10</f>
        <v>13.48698037</v>
      </c>
      <c r="H520" s="13">
        <v>45026.0</v>
      </c>
      <c r="I520" s="14" t="str">
        <f t="shared" si="1"/>
        <v>abr.</v>
      </c>
      <c r="O520" s="8"/>
    </row>
    <row r="521" ht="15.75" customHeight="1">
      <c r="A521" s="19">
        <v>12.0</v>
      </c>
      <c r="B521" s="19" t="s">
        <v>188</v>
      </c>
      <c r="C521" s="19" t="s">
        <v>189</v>
      </c>
      <c r="D521" s="20" t="s">
        <v>11</v>
      </c>
      <c r="E521" s="21" t="s">
        <v>50</v>
      </c>
      <c r="F521" s="22">
        <v>22.64</v>
      </c>
      <c r="G521" s="22">
        <f>F521-'Estatística'!$D$6/'Estatística'!$D$10</f>
        <v>21.63698037</v>
      </c>
      <c r="H521" s="23">
        <v>45026.0</v>
      </c>
      <c r="I521" s="24" t="str">
        <f t="shared" si="1"/>
        <v>abr.</v>
      </c>
      <c r="O521" s="8"/>
    </row>
    <row r="522" ht="15.75" customHeight="1">
      <c r="A522" s="9">
        <v>94.0</v>
      </c>
      <c r="B522" s="9" t="s">
        <v>207</v>
      </c>
      <c r="C522" s="9" t="s">
        <v>237</v>
      </c>
      <c r="D522" s="10" t="s">
        <v>30</v>
      </c>
      <c r="E522" s="11" t="s">
        <v>91</v>
      </c>
      <c r="F522" s="12">
        <v>1.79</v>
      </c>
      <c r="G522" s="12">
        <f>F522-'Estatística'!$D$6/'Estatística'!$D$10</f>
        <v>0.7869803714</v>
      </c>
      <c r="H522" s="13">
        <v>45026.0</v>
      </c>
      <c r="I522" s="14" t="str">
        <f t="shared" si="1"/>
        <v>abr.</v>
      </c>
      <c r="O522" s="8"/>
    </row>
    <row r="523" ht="15.75" customHeight="1">
      <c r="A523" s="19">
        <v>28.0</v>
      </c>
      <c r="B523" s="19" t="s">
        <v>77</v>
      </c>
      <c r="C523" s="19" t="s">
        <v>78</v>
      </c>
      <c r="D523" s="20" t="s">
        <v>30</v>
      </c>
      <c r="E523" s="21" t="s">
        <v>50</v>
      </c>
      <c r="F523" s="22">
        <v>33.89</v>
      </c>
      <c r="G523" s="22">
        <f>F523-'Estatística'!$D$6/'Estatística'!$D$10</f>
        <v>32.88698037</v>
      </c>
      <c r="H523" s="23">
        <v>45026.0</v>
      </c>
      <c r="I523" s="24" t="str">
        <f t="shared" si="1"/>
        <v>abr.</v>
      </c>
      <c r="O523" s="8"/>
    </row>
    <row r="524" ht="15.75" customHeight="1">
      <c r="A524" s="9">
        <v>53.0</v>
      </c>
      <c r="B524" s="9" t="s">
        <v>241</v>
      </c>
      <c r="C524" s="9" t="s">
        <v>242</v>
      </c>
      <c r="D524" s="10" t="s">
        <v>30</v>
      </c>
      <c r="E524" s="11" t="s">
        <v>82</v>
      </c>
      <c r="F524" s="12">
        <v>10.65</v>
      </c>
      <c r="G524" s="12">
        <f>F524-'Estatística'!$D$6/'Estatística'!$D$10</f>
        <v>9.646980371</v>
      </c>
      <c r="H524" s="13">
        <v>45027.0</v>
      </c>
      <c r="I524" s="14" t="str">
        <f t="shared" si="1"/>
        <v>abr.</v>
      </c>
      <c r="O524" s="8"/>
    </row>
    <row r="525" ht="15.75" customHeight="1">
      <c r="A525" s="19">
        <v>95.0</v>
      </c>
      <c r="B525" s="19" t="s">
        <v>110</v>
      </c>
      <c r="C525" s="19" t="s">
        <v>111</v>
      </c>
      <c r="D525" s="20" t="s">
        <v>30</v>
      </c>
      <c r="E525" s="21" t="s">
        <v>46</v>
      </c>
      <c r="F525" s="22">
        <v>15.05</v>
      </c>
      <c r="G525" s="22">
        <f>F525-'Estatística'!$D$6/'Estatística'!$D$10</f>
        <v>14.04698037</v>
      </c>
      <c r="H525" s="23">
        <v>45027.0</v>
      </c>
      <c r="I525" s="24" t="str">
        <f t="shared" si="1"/>
        <v>abr.</v>
      </c>
      <c r="O525" s="8"/>
    </row>
    <row r="526" ht="15.75" customHeight="1">
      <c r="A526" s="9">
        <v>81.0</v>
      </c>
      <c r="B526" s="9" t="s">
        <v>54</v>
      </c>
      <c r="C526" s="9" t="s">
        <v>55</v>
      </c>
      <c r="D526" s="10" t="s">
        <v>11</v>
      </c>
      <c r="E526" s="11" t="s">
        <v>82</v>
      </c>
      <c r="F526" s="12">
        <v>13.79</v>
      </c>
      <c r="G526" s="12">
        <f>F526-'Estatística'!$D$6/'Estatística'!$D$10</f>
        <v>12.78698037</v>
      </c>
      <c r="H526" s="13">
        <v>45028.0</v>
      </c>
      <c r="I526" s="14" t="str">
        <f t="shared" si="1"/>
        <v>abr.</v>
      </c>
      <c r="O526" s="8"/>
    </row>
    <row r="527" ht="15.75" customHeight="1">
      <c r="A527" s="19">
        <v>32.0</v>
      </c>
      <c r="B527" s="19" t="s">
        <v>146</v>
      </c>
      <c r="C527" s="19" t="s">
        <v>147</v>
      </c>
      <c r="D527" s="20" t="s">
        <v>30</v>
      </c>
      <c r="E527" s="21" t="s">
        <v>76</v>
      </c>
      <c r="F527" s="22">
        <v>12.3</v>
      </c>
      <c r="G527" s="22">
        <f>F527-'Estatística'!$D$6/'Estatística'!$D$10</f>
        <v>11.29698037</v>
      </c>
      <c r="H527" s="23">
        <v>45028.0</v>
      </c>
      <c r="I527" s="24" t="str">
        <f t="shared" si="1"/>
        <v>abr.</v>
      </c>
      <c r="O527" s="8"/>
    </row>
    <row r="528" ht="15.75" customHeight="1">
      <c r="A528" s="9">
        <v>6.0</v>
      </c>
      <c r="B528" s="9" t="s">
        <v>183</v>
      </c>
      <c r="C528" s="9" t="s">
        <v>184</v>
      </c>
      <c r="D528" s="10" t="s">
        <v>11</v>
      </c>
      <c r="E528" s="11" t="s">
        <v>88</v>
      </c>
      <c r="F528" s="12">
        <v>37.38</v>
      </c>
      <c r="G528" s="12">
        <f>F528-'Estatística'!$D$6/'Estatística'!$D$10</f>
        <v>36.37698037</v>
      </c>
      <c r="H528" s="13">
        <v>45028.0</v>
      </c>
      <c r="I528" s="14" t="str">
        <f t="shared" si="1"/>
        <v>abr.</v>
      </c>
      <c r="O528" s="8"/>
    </row>
    <row r="529" ht="15.75" customHeight="1">
      <c r="A529" s="19">
        <v>99.0</v>
      </c>
      <c r="B529" s="19" t="s">
        <v>73</v>
      </c>
      <c r="C529" s="19" t="s">
        <v>74</v>
      </c>
      <c r="D529" s="20" t="s">
        <v>11</v>
      </c>
      <c r="E529" s="21" t="s">
        <v>94</v>
      </c>
      <c r="F529" s="22">
        <v>29.11</v>
      </c>
      <c r="G529" s="22">
        <f>F529-'Estatística'!$D$6/'Estatística'!$D$10</f>
        <v>28.10698037</v>
      </c>
      <c r="H529" s="23">
        <v>45028.0</v>
      </c>
      <c r="I529" s="24" t="str">
        <f t="shared" si="1"/>
        <v>abr.</v>
      </c>
      <c r="O529" s="8"/>
    </row>
    <row r="530" ht="15.75" customHeight="1">
      <c r="A530" s="9">
        <v>15.0</v>
      </c>
      <c r="B530" s="9" t="s">
        <v>58</v>
      </c>
      <c r="C530" s="9" t="s">
        <v>59</v>
      </c>
      <c r="D530" s="10" t="s">
        <v>11</v>
      </c>
      <c r="E530" s="11" t="s">
        <v>12</v>
      </c>
      <c r="F530" s="12">
        <v>10.47</v>
      </c>
      <c r="G530" s="12">
        <f>F530-'Estatística'!$D$6/'Estatística'!$D$10</f>
        <v>9.466980371</v>
      </c>
      <c r="H530" s="13">
        <v>45028.0</v>
      </c>
      <c r="I530" s="14" t="str">
        <f t="shared" si="1"/>
        <v>abr.</v>
      </c>
      <c r="O530" s="8"/>
    </row>
    <row r="531" ht="15.75" customHeight="1">
      <c r="A531" s="19">
        <v>88.0</v>
      </c>
      <c r="B531" s="19" t="s">
        <v>200</v>
      </c>
      <c r="C531" s="19" t="s">
        <v>206</v>
      </c>
      <c r="D531" s="20" t="s">
        <v>11</v>
      </c>
      <c r="E531" s="21" t="s">
        <v>35</v>
      </c>
      <c r="F531" s="22">
        <v>21.55</v>
      </c>
      <c r="G531" s="22">
        <f>F531-'Estatística'!$D$6/'Estatística'!$D$10</f>
        <v>20.54698037</v>
      </c>
      <c r="H531" s="23">
        <v>45028.0</v>
      </c>
      <c r="I531" s="24" t="str">
        <f t="shared" si="1"/>
        <v>abr.</v>
      </c>
      <c r="O531" s="8"/>
    </row>
    <row r="532" ht="15.75" customHeight="1">
      <c r="A532" s="9">
        <v>63.0</v>
      </c>
      <c r="B532" s="9" t="s">
        <v>225</v>
      </c>
      <c r="C532" s="9" t="s">
        <v>226</v>
      </c>
      <c r="D532" s="10" t="s">
        <v>11</v>
      </c>
      <c r="E532" s="11" t="s">
        <v>88</v>
      </c>
      <c r="F532" s="12">
        <v>33.38</v>
      </c>
      <c r="G532" s="12">
        <f>F532-'Estatística'!$D$6/'Estatística'!$D$10</f>
        <v>32.37698037</v>
      </c>
      <c r="H532" s="13">
        <v>45028.0</v>
      </c>
      <c r="I532" s="14" t="str">
        <f t="shared" si="1"/>
        <v>abr.</v>
      </c>
      <c r="O532" s="8"/>
    </row>
    <row r="533" ht="15.75" customHeight="1">
      <c r="A533" s="19">
        <v>38.0</v>
      </c>
      <c r="B533" s="19" t="s">
        <v>116</v>
      </c>
      <c r="C533" s="19" t="s">
        <v>117</v>
      </c>
      <c r="D533" s="20" t="s">
        <v>11</v>
      </c>
      <c r="E533" s="21" t="s">
        <v>46</v>
      </c>
      <c r="F533" s="22">
        <v>13.17</v>
      </c>
      <c r="G533" s="22">
        <f>F533-'Estatística'!$D$6/'Estatística'!$D$10</f>
        <v>12.16698037</v>
      </c>
      <c r="H533" s="23">
        <v>45029.0</v>
      </c>
      <c r="I533" s="24" t="str">
        <f t="shared" si="1"/>
        <v>abr.</v>
      </c>
      <c r="O533" s="8"/>
    </row>
    <row r="534" ht="15.75" customHeight="1">
      <c r="A534" s="9">
        <v>48.0</v>
      </c>
      <c r="B534" s="9" t="s">
        <v>41</v>
      </c>
      <c r="C534" s="9" t="s">
        <v>45</v>
      </c>
      <c r="D534" s="10" t="s">
        <v>11</v>
      </c>
      <c r="E534" s="11" t="s">
        <v>52</v>
      </c>
      <c r="F534" s="12">
        <v>51.9</v>
      </c>
      <c r="G534" s="12">
        <f>F534-'Estatística'!$D$6/'Estatística'!$D$10</f>
        <v>50.89698037</v>
      </c>
      <c r="H534" s="13">
        <v>45029.0</v>
      </c>
      <c r="I534" s="14" t="str">
        <f t="shared" si="1"/>
        <v>abr.</v>
      </c>
      <c r="O534" s="8"/>
    </row>
    <row r="535" ht="15.75" customHeight="1">
      <c r="A535" s="19">
        <v>4.0</v>
      </c>
      <c r="B535" s="19" t="s">
        <v>118</v>
      </c>
      <c r="C535" s="19" t="s">
        <v>119</v>
      </c>
      <c r="D535" s="20" t="s">
        <v>30</v>
      </c>
      <c r="E535" s="21" t="s">
        <v>97</v>
      </c>
      <c r="F535" s="22">
        <v>3.48</v>
      </c>
      <c r="G535" s="22">
        <f>F535-'Estatística'!$D$6/'Estatística'!$D$10</f>
        <v>2.476980371</v>
      </c>
      <c r="H535" s="23">
        <v>45029.0</v>
      </c>
      <c r="I535" s="24" t="str">
        <f t="shared" si="1"/>
        <v>abr.</v>
      </c>
      <c r="O535" s="8"/>
    </row>
    <row r="536" ht="15.75" customHeight="1">
      <c r="A536" s="9">
        <v>44.0</v>
      </c>
      <c r="B536" s="9" t="s">
        <v>215</v>
      </c>
      <c r="C536" s="9" t="s">
        <v>216</v>
      </c>
      <c r="D536" s="10" t="s">
        <v>30</v>
      </c>
      <c r="E536" s="11" t="s">
        <v>50</v>
      </c>
      <c r="F536" s="12">
        <v>27.32</v>
      </c>
      <c r="G536" s="12">
        <f>F536-'Estatística'!$D$6/'Estatística'!$D$10</f>
        <v>26.31698037</v>
      </c>
      <c r="H536" s="13">
        <v>45029.0</v>
      </c>
      <c r="I536" s="14" t="str">
        <f t="shared" si="1"/>
        <v>abr.</v>
      </c>
      <c r="O536" s="8"/>
    </row>
    <row r="537" ht="15.75" customHeight="1">
      <c r="A537" s="19">
        <v>86.0</v>
      </c>
      <c r="B537" s="19" t="s">
        <v>62</v>
      </c>
      <c r="C537" s="19" t="s">
        <v>63</v>
      </c>
      <c r="D537" s="20" t="s">
        <v>11</v>
      </c>
      <c r="E537" s="21" t="s">
        <v>52</v>
      </c>
      <c r="F537" s="22">
        <v>48.16</v>
      </c>
      <c r="G537" s="22">
        <f>F537-'Estatística'!$D$6/'Estatística'!$D$10</f>
        <v>47.15698037</v>
      </c>
      <c r="H537" s="23">
        <v>45029.0</v>
      </c>
      <c r="I537" s="24" t="str">
        <f t="shared" si="1"/>
        <v>abr.</v>
      </c>
      <c r="O537" s="8"/>
    </row>
    <row r="538" ht="15.75" customHeight="1">
      <c r="A538" s="9">
        <v>96.0</v>
      </c>
      <c r="B538" s="9" t="s">
        <v>163</v>
      </c>
      <c r="C538" s="9" t="s">
        <v>164</v>
      </c>
      <c r="D538" s="10" t="s">
        <v>30</v>
      </c>
      <c r="E538" s="11" t="s">
        <v>12</v>
      </c>
      <c r="F538" s="12">
        <v>10.9</v>
      </c>
      <c r="G538" s="12">
        <f>F538-'Estatística'!$D$6/'Estatística'!$D$10</f>
        <v>9.896980371</v>
      </c>
      <c r="H538" s="13">
        <v>45029.0</v>
      </c>
      <c r="I538" s="14" t="str">
        <f t="shared" si="1"/>
        <v>abr.</v>
      </c>
      <c r="O538" s="8"/>
    </row>
    <row r="539" ht="15.75" customHeight="1">
      <c r="A539" s="19">
        <v>73.0</v>
      </c>
      <c r="B539" s="19" t="s">
        <v>223</v>
      </c>
      <c r="C539" s="19" t="s">
        <v>224</v>
      </c>
      <c r="D539" s="20" t="s">
        <v>11</v>
      </c>
      <c r="E539" s="21" t="s">
        <v>82</v>
      </c>
      <c r="F539" s="22">
        <v>10.73</v>
      </c>
      <c r="G539" s="22">
        <f>F539-'Estatística'!$D$6/'Estatística'!$D$10</f>
        <v>9.726980371</v>
      </c>
      <c r="H539" s="23">
        <v>45029.0</v>
      </c>
      <c r="I539" s="24" t="str">
        <f t="shared" si="1"/>
        <v>abr.</v>
      </c>
      <c r="O539" s="8"/>
    </row>
    <row r="540" ht="15.75" customHeight="1">
      <c r="A540" s="9">
        <v>37.0</v>
      </c>
      <c r="B540" s="9" t="s">
        <v>245</v>
      </c>
      <c r="C540" s="9" t="s">
        <v>246</v>
      </c>
      <c r="D540" s="10" t="s">
        <v>30</v>
      </c>
      <c r="E540" s="11" t="s">
        <v>12</v>
      </c>
      <c r="F540" s="12">
        <v>10.34</v>
      </c>
      <c r="G540" s="12">
        <f>F540-'Estatística'!$D$6/'Estatística'!$D$10</f>
        <v>9.336980371</v>
      </c>
      <c r="H540" s="13">
        <v>45029.0</v>
      </c>
      <c r="I540" s="14" t="str">
        <f t="shared" si="1"/>
        <v>abr.</v>
      </c>
      <c r="O540" s="8"/>
    </row>
    <row r="541" ht="15.75" customHeight="1">
      <c r="A541" s="19">
        <v>27.0</v>
      </c>
      <c r="B541" s="19" t="s">
        <v>173</v>
      </c>
      <c r="C541" s="19" t="s">
        <v>174</v>
      </c>
      <c r="D541" s="20" t="s">
        <v>11</v>
      </c>
      <c r="E541" s="21" t="s">
        <v>43</v>
      </c>
      <c r="F541" s="22">
        <v>19.74</v>
      </c>
      <c r="G541" s="22">
        <f>F541-'Estatística'!$D$6/'Estatística'!$D$10</f>
        <v>18.73698037</v>
      </c>
      <c r="H541" s="23">
        <v>45030.0</v>
      </c>
      <c r="I541" s="24" t="str">
        <f t="shared" si="1"/>
        <v>abr.</v>
      </c>
      <c r="O541" s="8"/>
    </row>
    <row r="542" ht="15.75" customHeight="1">
      <c r="A542" s="9">
        <v>100.0</v>
      </c>
      <c r="B542" s="9" t="s">
        <v>48</v>
      </c>
      <c r="C542" s="9" t="s">
        <v>49</v>
      </c>
      <c r="D542" s="10" t="s">
        <v>11</v>
      </c>
      <c r="E542" s="11" t="s">
        <v>72</v>
      </c>
      <c r="F542" s="12">
        <v>17.02</v>
      </c>
      <c r="G542" s="12">
        <f>F542-'Estatística'!$D$6/'Estatística'!$D$10</f>
        <v>16.01698037</v>
      </c>
      <c r="H542" s="13">
        <v>45030.0</v>
      </c>
      <c r="I542" s="14" t="str">
        <f t="shared" si="1"/>
        <v>abr.</v>
      </c>
      <c r="O542" s="8"/>
    </row>
    <row r="543" ht="15.75" customHeight="1">
      <c r="A543" s="19">
        <v>94.0</v>
      </c>
      <c r="B543" s="19" t="s">
        <v>207</v>
      </c>
      <c r="C543" s="19" t="s">
        <v>237</v>
      </c>
      <c r="D543" s="20" t="s">
        <v>30</v>
      </c>
      <c r="E543" s="21" t="s">
        <v>46</v>
      </c>
      <c r="F543" s="22">
        <v>13.8</v>
      </c>
      <c r="G543" s="22">
        <f>F543-'Estatística'!$D$6/'Estatística'!$D$10</f>
        <v>12.79698037</v>
      </c>
      <c r="H543" s="23">
        <v>45030.0</v>
      </c>
      <c r="I543" s="24" t="str">
        <f t="shared" si="1"/>
        <v>abr.</v>
      </c>
      <c r="O543" s="8"/>
    </row>
    <row r="544" ht="15.75" customHeight="1">
      <c r="A544" s="9">
        <v>94.0</v>
      </c>
      <c r="B544" s="9" t="s">
        <v>207</v>
      </c>
      <c r="C544" s="9" t="s">
        <v>237</v>
      </c>
      <c r="D544" s="10" t="s">
        <v>11</v>
      </c>
      <c r="E544" s="11" t="s">
        <v>56</v>
      </c>
      <c r="F544" s="12">
        <v>78.91</v>
      </c>
      <c r="G544" s="12">
        <f>F544-'Estatística'!$D$6/'Estatística'!$D$10</f>
        <v>77.90698037</v>
      </c>
      <c r="H544" s="13">
        <v>45030.0</v>
      </c>
      <c r="I544" s="14" t="str">
        <f t="shared" si="1"/>
        <v>abr.</v>
      </c>
      <c r="O544" s="8"/>
    </row>
    <row r="545" ht="15.75" customHeight="1">
      <c r="A545" s="19">
        <v>29.0</v>
      </c>
      <c r="B545" s="19" t="s">
        <v>122</v>
      </c>
      <c r="C545" s="19" t="s">
        <v>123</v>
      </c>
      <c r="D545" s="20" t="s">
        <v>11</v>
      </c>
      <c r="E545" s="21" t="s">
        <v>46</v>
      </c>
      <c r="F545" s="22">
        <v>14.42</v>
      </c>
      <c r="G545" s="22">
        <f>F545-'Estatística'!$D$6/'Estatística'!$D$10</f>
        <v>13.41698037</v>
      </c>
      <c r="H545" s="23">
        <v>45030.0</v>
      </c>
      <c r="I545" s="24" t="str">
        <f t="shared" si="1"/>
        <v>abr.</v>
      </c>
      <c r="O545" s="8"/>
    </row>
    <row r="546" ht="15.75" customHeight="1">
      <c r="A546" s="9">
        <v>80.0</v>
      </c>
      <c r="B546" s="9" t="s">
        <v>37</v>
      </c>
      <c r="C546" s="9" t="s">
        <v>38</v>
      </c>
      <c r="D546" s="10" t="s">
        <v>30</v>
      </c>
      <c r="E546" s="11" t="s">
        <v>35</v>
      </c>
      <c r="F546" s="12">
        <v>16.85</v>
      </c>
      <c r="G546" s="12">
        <f>F546-'Estatística'!$D$6/'Estatística'!$D$10</f>
        <v>15.84698037</v>
      </c>
      <c r="H546" s="13">
        <v>45030.0</v>
      </c>
      <c r="I546" s="14" t="str">
        <f t="shared" si="1"/>
        <v>abr.</v>
      </c>
      <c r="O546" s="8"/>
    </row>
    <row r="547" ht="15.75" customHeight="1">
      <c r="A547" s="19">
        <v>98.0</v>
      </c>
      <c r="B547" s="19" t="s">
        <v>159</v>
      </c>
      <c r="C547" s="19" t="s">
        <v>196</v>
      </c>
      <c r="D547" s="20" t="s">
        <v>11</v>
      </c>
      <c r="E547" s="21" t="s">
        <v>72</v>
      </c>
      <c r="F547" s="22">
        <v>24.07</v>
      </c>
      <c r="G547" s="22">
        <f>F547-'Estatística'!$D$6/'Estatística'!$D$10</f>
        <v>23.06698037</v>
      </c>
      <c r="H547" s="23">
        <v>45031.0</v>
      </c>
      <c r="I547" s="24" t="str">
        <f t="shared" si="1"/>
        <v>abr.</v>
      </c>
      <c r="O547" s="8"/>
    </row>
    <row r="548" ht="15.75" customHeight="1">
      <c r="A548" s="9">
        <v>85.0</v>
      </c>
      <c r="B548" s="9" t="s">
        <v>198</v>
      </c>
      <c r="C548" s="9" t="s">
        <v>199</v>
      </c>
      <c r="D548" s="10" t="s">
        <v>30</v>
      </c>
      <c r="E548" s="11" t="s">
        <v>52</v>
      </c>
      <c r="F548" s="12">
        <v>56.87</v>
      </c>
      <c r="G548" s="12">
        <f>F548-'Estatística'!$D$6/'Estatística'!$D$10</f>
        <v>55.86698037</v>
      </c>
      <c r="H548" s="13">
        <v>45031.0</v>
      </c>
      <c r="I548" s="14" t="str">
        <f t="shared" si="1"/>
        <v>abr.</v>
      </c>
      <c r="O548" s="8"/>
    </row>
    <row r="549" ht="15.75" customHeight="1">
      <c r="A549" s="19">
        <v>59.0</v>
      </c>
      <c r="B549" s="19" t="s">
        <v>103</v>
      </c>
      <c r="C549" s="19" t="s">
        <v>104</v>
      </c>
      <c r="D549" s="20" t="s">
        <v>11</v>
      </c>
      <c r="E549" s="21" t="s">
        <v>68</v>
      </c>
      <c r="F549" s="22">
        <v>11.8</v>
      </c>
      <c r="G549" s="22">
        <f>F549-'Estatística'!$D$6/'Estatística'!$D$10</f>
        <v>10.79698037</v>
      </c>
      <c r="H549" s="23">
        <v>45031.0</v>
      </c>
      <c r="I549" s="24" t="str">
        <f t="shared" si="1"/>
        <v>abr.</v>
      </c>
      <c r="O549" s="8"/>
    </row>
    <row r="550" ht="15.75" customHeight="1">
      <c r="A550" s="9">
        <v>58.0</v>
      </c>
      <c r="B550" s="9" t="s">
        <v>165</v>
      </c>
      <c r="C550" s="9" t="s">
        <v>166</v>
      </c>
      <c r="D550" s="10" t="s">
        <v>11</v>
      </c>
      <c r="E550" s="11" t="s">
        <v>46</v>
      </c>
      <c r="F550" s="12">
        <v>14.08</v>
      </c>
      <c r="G550" s="12">
        <f>F550-'Estatística'!$D$6/'Estatística'!$D$10</f>
        <v>13.07698037</v>
      </c>
      <c r="H550" s="13">
        <v>45032.0</v>
      </c>
      <c r="I550" s="14" t="str">
        <f t="shared" si="1"/>
        <v>abr.</v>
      </c>
      <c r="O550" s="8"/>
    </row>
    <row r="551" ht="15.75" customHeight="1">
      <c r="A551" s="19">
        <v>57.0</v>
      </c>
      <c r="B551" s="19" t="s">
        <v>92</v>
      </c>
      <c r="C551" s="19" t="s">
        <v>190</v>
      </c>
      <c r="D551" s="20" t="s">
        <v>11</v>
      </c>
      <c r="E551" s="21" t="s">
        <v>43</v>
      </c>
      <c r="F551" s="22">
        <v>14.07</v>
      </c>
      <c r="G551" s="22">
        <f>F551-'Estatística'!$D$6/'Estatística'!$D$10</f>
        <v>13.06698037</v>
      </c>
      <c r="H551" s="23">
        <v>45032.0</v>
      </c>
      <c r="I551" s="24" t="str">
        <f t="shared" si="1"/>
        <v>abr.</v>
      </c>
      <c r="O551" s="8"/>
    </row>
    <row r="552" ht="15.75" customHeight="1">
      <c r="A552" s="9">
        <v>48.0</v>
      </c>
      <c r="B552" s="9" t="s">
        <v>41</v>
      </c>
      <c r="C552" s="9" t="s">
        <v>45</v>
      </c>
      <c r="D552" s="10" t="s">
        <v>30</v>
      </c>
      <c r="E552" s="11" t="s">
        <v>56</v>
      </c>
      <c r="F552" s="12">
        <v>61.54</v>
      </c>
      <c r="G552" s="12">
        <f>F552-'Estatística'!$D$6/'Estatística'!$D$10</f>
        <v>60.53698037</v>
      </c>
      <c r="H552" s="13">
        <v>45032.0</v>
      </c>
      <c r="I552" s="14" t="str">
        <f t="shared" si="1"/>
        <v>abr.</v>
      </c>
      <c r="O552" s="8"/>
    </row>
    <row r="553" ht="15.75" customHeight="1">
      <c r="A553" s="19">
        <v>64.0</v>
      </c>
      <c r="B553" s="19" t="s">
        <v>159</v>
      </c>
      <c r="C553" s="19" t="s">
        <v>160</v>
      </c>
      <c r="D553" s="20" t="s">
        <v>11</v>
      </c>
      <c r="E553" s="21" t="s">
        <v>50</v>
      </c>
      <c r="F553" s="22">
        <v>25.1</v>
      </c>
      <c r="G553" s="22">
        <f>F553-'Estatística'!$D$6/'Estatística'!$D$10</f>
        <v>24.09698037</v>
      </c>
      <c r="H553" s="23">
        <v>45032.0</v>
      </c>
      <c r="I553" s="24" t="str">
        <f t="shared" si="1"/>
        <v>abr.</v>
      </c>
      <c r="O553" s="8"/>
    </row>
    <row r="554" ht="15.75" customHeight="1">
      <c r="A554" s="9">
        <v>21.0</v>
      </c>
      <c r="B554" s="9" t="s">
        <v>186</v>
      </c>
      <c r="C554" s="9" t="s">
        <v>187</v>
      </c>
      <c r="D554" s="10" t="s">
        <v>30</v>
      </c>
      <c r="E554" s="11" t="s">
        <v>52</v>
      </c>
      <c r="F554" s="12">
        <v>69.0</v>
      </c>
      <c r="G554" s="12">
        <f>F554-'Estatística'!$D$6/'Estatística'!$D$10</f>
        <v>67.99698037</v>
      </c>
      <c r="H554" s="13">
        <v>45032.0</v>
      </c>
      <c r="I554" s="14" t="str">
        <f t="shared" si="1"/>
        <v>abr.</v>
      </c>
      <c r="O554" s="8"/>
    </row>
    <row r="555" ht="15.75" customHeight="1">
      <c r="A555" s="19">
        <v>92.0</v>
      </c>
      <c r="B555" s="19" t="s">
        <v>112</v>
      </c>
      <c r="C555" s="19" t="s">
        <v>197</v>
      </c>
      <c r="D555" s="20" t="s">
        <v>11</v>
      </c>
      <c r="E555" s="21" t="s">
        <v>97</v>
      </c>
      <c r="F555" s="22">
        <v>3.91</v>
      </c>
      <c r="G555" s="22">
        <f>F555-'Estatística'!$D$6/'Estatística'!$D$10</f>
        <v>2.906980371</v>
      </c>
      <c r="H555" s="23">
        <v>45032.0</v>
      </c>
      <c r="I555" s="24" t="str">
        <f t="shared" si="1"/>
        <v>abr.</v>
      </c>
      <c r="O555" s="8"/>
    </row>
    <row r="556" ht="15.75" customHeight="1">
      <c r="A556" s="9">
        <v>84.0</v>
      </c>
      <c r="B556" s="9" t="s">
        <v>141</v>
      </c>
      <c r="C556" s="9" t="s">
        <v>142</v>
      </c>
      <c r="D556" s="10" t="s">
        <v>11</v>
      </c>
      <c r="E556" s="11" t="s">
        <v>85</v>
      </c>
      <c r="F556" s="12">
        <v>14.34</v>
      </c>
      <c r="G556" s="12">
        <f>F556-'Estatística'!$D$6/'Estatística'!$D$10</f>
        <v>13.33698037</v>
      </c>
      <c r="H556" s="13">
        <v>45033.0</v>
      </c>
      <c r="I556" s="14" t="str">
        <f t="shared" si="1"/>
        <v>abr.</v>
      </c>
      <c r="O556" s="8"/>
    </row>
    <row r="557" ht="15.75" customHeight="1">
      <c r="A557" s="19">
        <v>70.0</v>
      </c>
      <c r="B557" s="19" t="s">
        <v>152</v>
      </c>
      <c r="C557" s="19" t="s">
        <v>153</v>
      </c>
      <c r="D557" s="20" t="s">
        <v>11</v>
      </c>
      <c r="E557" s="21" t="s">
        <v>76</v>
      </c>
      <c r="F557" s="22">
        <v>11.76</v>
      </c>
      <c r="G557" s="22">
        <f>F557-'Estatística'!$D$6/'Estatística'!$D$10</f>
        <v>10.75698037</v>
      </c>
      <c r="H557" s="23">
        <v>45033.0</v>
      </c>
      <c r="I557" s="24" t="str">
        <f t="shared" si="1"/>
        <v>abr.</v>
      </c>
      <c r="O557" s="8"/>
    </row>
    <row r="558" ht="15.75" customHeight="1">
      <c r="A558" s="9">
        <v>68.0</v>
      </c>
      <c r="B558" s="9" t="s">
        <v>41</v>
      </c>
      <c r="C558" s="9" t="s">
        <v>42</v>
      </c>
      <c r="D558" s="10" t="s">
        <v>11</v>
      </c>
      <c r="E558" s="11" t="s">
        <v>88</v>
      </c>
      <c r="F558" s="12">
        <v>35.38</v>
      </c>
      <c r="G558" s="12">
        <f>F558-'Estatística'!$D$6/'Estatística'!$D$10</f>
        <v>34.37698037</v>
      </c>
      <c r="H558" s="13">
        <v>45033.0</v>
      </c>
      <c r="I558" s="14" t="str">
        <f t="shared" si="1"/>
        <v>abr.</v>
      </c>
      <c r="O558" s="8"/>
    </row>
    <row r="559" ht="15.75" customHeight="1">
      <c r="A559" s="19">
        <v>93.0</v>
      </c>
      <c r="B559" s="19" t="s">
        <v>129</v>
      </c>
      <c r="C559" s="19" t="s">
        <v>130</v>
      </c>
      <c r="D559" s="20" t="s">
        <v>11</v>
      </c>
      <c r="E559" s="21" t="s">
        <v>79</v>
      </c>
      <c r="F559" s="22">
        <v>35.01</v>
      </c>
      <c r="G559" s="22">
        <f>F559-'Estatística'!$D$6/'Estatística'!$D$10</f>
        <v>34.00698037</v>
      </c>
      <c r="H559" s="23">
        <v>45033.0</v>
      </c>
      <c r="I559" s="24" t="str">
        <f t="shared" si="1"/>
        <v>abr.</v>
      </c>
      <c r="O559" s="8"/>
    </row>
    <row r="560" ht="15.75" customHeight="1">
      <c r="A560" s="9">
        <v>64.0</v>
      </c>
      <c r="B560" s="9" t="s">
        <v>159</v>
      </c>
      <c r="C560" s="9" t="s">
        <v>160</v>
      </c>
      <c r="D560" s="10" t="s">
        <v>30</v>
      </c>
      <c r="E560" s="11" t="s">
        <v>35</v>
      </c>
      <c r="F560" s="12">
        <v>21.69</v>
      </c>
      <c r="G560" s="12">
        <f>F560-'Estatística'!$D$6/'Estatística'!$D$10</f>
        <v>20.68698037</v>
      </c>
      <c r="H560" s="13">
        <v>45033.0</v>
      </c>
      <c r="I560" s="14" t="str">
        <f t="shared" si="1"/>
        <v>abr.</v>
      </c>
      <c r="O560" s="8"/>
    </row>
    <row r="561" ht="15.75" customHeight="1">
      <c r="A561" s="19">
        <v>3.0</v>
      </c>
      <c r="B561" s="19" t="s">
        <v>80</v>
      </c>
      <c r="C561" s="19" t="s">
        <v>81</v>
      </c>
      <c r="D561" s="20" t="s">
        <v>30</v>
      </c>
      <c r="E561" s="21" t="s">
        <v>88</v>
      </c>
      <c r="F561" s="22">
        <v>38.54</v>
      </c>
      <c r="G561" s="22">
        <f>F561-'Estatística'!$D$6/'Estatística'!$D$10</f>
        <v>37.53698037</v>
      </c>
      <c r="H561" s="23">
        <v>45033.0</v>
      </c>
      <c r="I561" s="24" t="str">
        <f t="shared" si="1"/>
        <v>abr.</v>
      </c>
      <c r="O561" s="8"/>
    </row>
    <row r="562" ht="15.75" customHeight="1">
      <c r="A562" s="9">
        <v>3.0</v>
      </c>
      <c r="B562" s="9" t="s">
        <v>80</v>
      </c>
      <c r="C562" s="9" t="s">
        <v>81</v>
      </c>
      <c r="D562" s="10" t="s">
        <v>30</v>
      </c>
      <c r="E562" s="11" t="s">
        <v>52</v>
      </c>
      <c r="F562" s="12">
        <v>60.17</v>
      </c>
      <c r="G562" s="12">
        <f>F562-'Estatística'!$D$6/'Estatística'!$D$10</f>
        <v>59.16698037</v>
      </c>
      <c r="H562" s="13">
        <v>45033.0</v>
      </c>
      <c r="I562" s="14" t="str">
        <f t="shared" si="1"/>
        <v>abr.</v>
      </c>
      <c r="O562" s="8"/>
    </row>
    <row r="563" ht="15.75" customHeight="1">
      <c r="A563" s="19">
        <v>37.0</v>
      </c>
      <c r="B563" s="19" t="s">
        <v>245</v>
      </c>
      <c r="C563" s="19" t="s">
        <v>246</v>
      </c>
      <c r="D563" s="20" t="s">
        <v>30</v>
      </c>
      <c r="E563" s="21" t="s">
        <v>79</v>
      </c>
      <c r="F563" s="22">
        <v>26.67</v>
      </c>
      <c r="G563" s="22">
        <f>F563-'Estatística'!$D$6/'Estatística'!$D$10</f>
        <v>25.66698037</v>
      </c>
      <c r="H563" s="23">
        <v>45033.0</v>
      </c>
      <c r="I563" s="24" t="str">
        <f t="shared" si="1"/>
        <v>abr.</v>
      </c>
      <c r="O563" s="8"/>
    </row>
    <row r="564" ht="15.75" customHeight="1">
      <c r="A564" s="9">
        <v>28.0</v>
      </c>
      <c r="B564" s="9" t="s">
        <v>77</v>
      </c>
      <c r="C564" s="9" t="s">
        <v>78</v>
      </c>
      <c r="D564" s="10" t="s">
        <v>30</v>
      </c>
      <c r="E564" s="11" t="s">
        <v>56</v>
      </c>
      <c r="F564" s="12">
        <v>59.58</v>
      </c>
      <c r="G564" s="12">
        <f>F564-'Estatística'!$D$6/'Estatística'!$D$10</f>
        <v>58.57698037</v>
      </c>
      <c r="H564" s="13">
        <v>45033.0</v>
      </c>
      <c r="I564" s="14" t="str">
        <f t="shared" si="1"/>
        <v>abr.</v>
      </c>
      <c r="O564" s="8"/>
    </row>
    <row r="565" ht="15.75" customHeight="1">
      <c r="A565" s="19">
        <v>61.0</v>
      </c>
      <c r="B565" s="19" t="s">
        <v>106</v>
      </c>
      <c r="C565" s="19" t="s">
        <v>107</v>
      </c>
      <c r="D565" s="20" t="s">
        <v>30</v>
      </c>
      <c r="E565" s="21" t="s">
        <v>31</v>
      </c>
      <c r="F565" s="22">
        <v>41.27</v>
      </c>
      <c r="G565" s="22">
        <f>F565-'Estatística'!$D$6/'Estatística'!$D$10</f>
        <v>40.26698037</v>
      </c>
      <c r="H565" s="23">
        <v>45033.0</v>
      </c>
      <c r="I565" s="24" t="str">
        <f t="shared" si="1"/>
        <v>abr.</v>
      </c>
      <c r="O565" s="8"/>
    </row>
    <row r="566" ht="15.75" customHeight="1">
      <c r="A566" s="9">
        <v>14.0</v>
      </c>
      <c r="B566" s="9" t="s">
        <v>171</v>
      </c>
      <c r="C566" s="9" t="s">
        <v>172</v>
      </c>
      <c r="D566" s="10" t="s">
        <v>30</v>
      </c>
      <c r="E566" s="11" t="s">
        <v>50</v>
      </c>
      <c r="F566" s="12">
        <v>30.01</v>
      </c>
      <c r="G566" s="12">
        <f>F566-'Estatística'!$D$6/'Estatística'!$D$10</f>
        <v>29.00698037</v>
      </c>
      <c r="H566" s="13">
        <v>45033.0</v>
      </c>
      <c r="I566" s="14" t="str">
        <f t="shared" si="1"/>
        <v>abr.</v>
      </c>
      <c r="O566" s="8"/>
    </row>
    <row r="567" ht="15.75" customHeight="1">
      <c r="A567" s="19">
        <v>41.0</v>
      </c>
      <c r="B567" s="19" t="s">
        <v>217</v>
      </c>
      <c r="C567" s="19" t="s">
        <v>218</v>
      </c>
      <c r="D567" s="20" t="s">
        <v>11</v>
      </c>
      <c r="E567" s="21" t="s">
        <v>52</v>
      </c>
      <c r="F567" s="22">
        <v>54.68</v>
      </c>
      <c r="G567" s="22">
        <f>F567-'Estatística'!$D$6/'Estatística'!$D$10</f>
        <v>53.67698037</v>
      </c>
      <c r="H567" s="23">
        <v>45033.0</v>
      </c>
      <c r="I567" s="24" t="str">
        <f t="shared" si="1"/>
        <v>abr.</v>
      </c>
      <c r="O567" s="8"/>
    </row>
    <row r="568" ht="15.75" customHeight="1">
      <c r="A568" s="9">
        <v>45.0</v>
      </c>
      <c r="B568" s="9" t="s">
        <v>221</v>
      </c>
      <c r="C568" s="9" t="s">
        <v>222</v>
      </c>
      <c r="D568" s="10" t="s">
        <v>30</v>
      </c>
      <c r="E568" s="11" t="s">
        <v>60</v>
      </c>
      <c r="F568" s="12">
        <v>49.67</v>
      </c>
      <c r="G568" s="12">
        <f>F568-'Estatística'!$D$6/'Estatística'!$D$10</f>
        <v>48.66698037</v>
      </c>
      <c r="H568" s="13">
        <v>45034.0</v>
      </c>
      <c r="I568" s="14" t="str">
        <f t="shared" si="1"/>
        <v>abr.</v>
      </c>
      <c r="O568" s="8"/>
    </row>
    <row r="569" ht="15.75" customHeight="1">
      <c r="A569" s="19">
        <v>29.0</v>
      </c>
      <c r="B569" s="19" t="s">
        <v>122</v>
      </c>
      <c r="C569" s="19" t="s">
        <v>123</v>
      </c>
      <c r="D569" s="20" t="s">
        <v>11</v>
      </c>
      <c r="E569" s="21" t="s">
        <v>94</v>
      </c>
      <c r="F569" s="22">
        <v>31.51</v>
      </c>
      <c r="G569" s="22">
        <f>F569-'Estatística'!$D$6/'Estatística'!$D$10</f>
        <v>30.50698037</v>
      </c>
      <c r="H569" s="23">
        <v>45034.0</v>
      </c>
      <c r="I569" s="24" t="str">
        <f t="shared" si="1"/>
        <v>abr.</v>
      </c>
      <c r="O569" s="8"/>
    </row>
    <row r="570" ht="15.75" customHeight="1">
      <c r="A570" s="9">
        <v>83.0</v>
      </c>
      <c r="B570" s="9" t="s">
        <v>98</v>
      </c>
      <c r="C570" s="9" t="s">
        <v>99</v>
      </c>
      <c r="D570" s="10" t="s">
        <v>30</v>
      </c>
      <c r="E570" s="11" t="s">
        <v>35</v>
      </c>
      <c r="F570" s="12">
        <v>13.53</v>
      </c>
      <c r="G570" s="12">
        <f>F570-'Estatística'!$D$6/'Estatística'!$D$10</f>
        <v>12.52698037</v>
      </c>
      <c r="H570" s="13">
        <v>45034.0</v>
      </c>
      <c r="I570" s="14" t="str">
        <f t="shared" si="1"/>
        <v>abr.</v>
      </c>
      <c r="O570" s="8"/>
    </row>
    <row r="571" ht="15.75" customHeight="1">
      <c r="A571" s="19">
        <v>5.0</v>
      </c>
      <c r="B571" s="19" t="s">
        <v>167</v>
      </c>
      <c r="C571" s="19" t="s">
        <v>168</v>
      </c>
      <c r="D571" s="20" t="s">
        <v>11</v>
      </c>
      <c r="E571" s="21" t="s">
        <v>82</v>
      </c>
      <c r="F571" s="22">
        <v>11.61</v>
      </c>
      <c r="G571" s="22">
        <f>F571-'Estatística'!$D$6/'Estatística'!$D$10</f>
        <v>10.60698037</v>
      </c>
      <c r="H571" s="23">
        <v>45034.0</v>
      </c>
      <c r="I571" s="24" t="str">
        <f t="shared" si="1"/>
        <v>abr.</v>
      </c>
      <c r="O571" s="8"/>
    </row>
    <row r="572" ht="15.75" customHeight="1">
      <c r="A572" s="9">
        <v>31.0</v>
      </c>
      <c r="B572" s="9" t="s">
        <v>229</v>
      </c>
      <c r="C572" s="9" t="s">
        <v>230</v>
      </c>
      <c r="D572" s="10" t="s">
        <v>30</v>
      </c>
      <c r="E572" s="11" t="s">
        <v>91</v>
      </c>
      <c r="F572" s="12">
        <v>4.02</v>
      </c>
      <c r="G572" s="12">
        <f>F572-'Estatística'!$D$6/'Estatística'!$D$10</f>
        <v>3.016980371</v>
      </c>
      <c r="H572" s="13">
        <v>45034.0</v>
      </c>
      <c r="I572" s="14" t="str">
        <f t="shared" si="1"/>
        <v>abr.</v>
      </c>
      <c r="O572" s="8"/>
    </row>
    <row r="573" ht="15.75" customHeight="1">
      <c r="A573" s="19">
        <v>87.0</v>
      </c>
      <c r="B573" s="19" t="s">
        <v>243</v>
      </c>
      <c r="C573" s="19" t="s">
        <v>244</v>
      </c>
      <c r="D573" s="20" t="s">
        <v>11</v>
      </c>
      <c r="E573" s="21" t="s">
        <v>72</v>
      </c>
      <c r="F573" s="22">
        <v>24.32</v>
      </c>
      <c r="G573" s="22">
        <f>F573-'Estatística'!$D$6/'Estatística'!$D$10</f>
        <v>23.31698037</v>
      </c>
      <c r="H573" s="23">
        <v>45034.0</v>
      </c>
      <c r="I573" s="24" t="str">
        <f t="shared" si="1"/>
        <v>abr.</v>
      </c>
      <c r="O573" s="8"/>
    </row>
    <row r="574" ht="15.75" customHeight="1">
      <c r="A574" s="9">
        <v>97.0</v>
      </c>
      <c r="B574" s="9" t="s">
        <v>69</v>
      </c>
      <c r="C574" s="9" t="s">
        <v>70</v>
      </c>
      <c r="D574" s="10" t="s">
        <v>11</v>
      </c>
      <c r="E574" s="11" t="s">
        <v>31</v>
      </c>
      <c r="F574" s="12">
        <v>42.34</v>
      </c>
      <c r="G574" s="12">
        <f>F574-'Estatística'!$D$6/'Estatística'!$D$10</f>
        <v>41.33698037</v>
      </c>
      <c r="H574" s="13">
        <v>45034.0</v>
      </c>
      <c r="I574" s="14" t="str">
        <f t="shared" si="1"/>
        <v>abr.</v>
      </c>
      <c r="O574" s="8"/>
    </row>
    <row r="575" ht="15.75" customHeight="1">
      <c r="A575" s="19">
        <v>7.0</v>
      </c>
      <c r="B575" s="19" t="s">
        <v>114</v>
      </c>
      <c r="C575" s="19" t="s">
        <v>115</v>
      </c>
      <c r="D575" s="20" t="s">
        <v>11</v>
      </c>
      <c r="E575" s="21" t="s">
        <v>88</v>
      </c>
      <c r="F575" s="22">
        <v>37.23</v>
      </c>
      <c r="G575" s="22">
        <f>F575-'Estatística'!$D$6/'Estatística'!$D$10</f>
        <v>36.22698037</v>
      </c>
      <c r="H575" s="23">
        <v>45035.0</v>
      </c>
      <c r="I575" s="24" t="str">
        <f t="shared" si="1"/>
        <v>abr.</v>
      </c>
      <c r="O575" s="8"/>
    </row>
    <row r="576" ht="15.75" customHeight="1">
      <c r="A576" s="9">
        <v>1.0</v>
      </c>
      <c r="B576" s="9" t="s">
        <v>194</v>
      </c>
      <c r="C576" s="9" t="s">
        <v>195</v>
      </c>
      <c r="D576" s="10" t="s">
        <v>11</v>
      </c>
      <c r="E576" s="11" t="s">
        <v>35</v>
      </c>
      <c r="F576" s="12">
        <v>16.55</v>
      </c>
      <c r="G576" s="12">
        <f>F576-'Estatística'!$D$6/'Estatística'!$D$10</f>
        <v>15.54698037</v>
      </c>
      <c r="H576" s="13">
        <v>45035.0</v>
      </c>
      <c r="I576" s="14" t="str">
        <f t="shared" si="1"/>
        <v>abr.</v>
      </c>
      <c r="O576" s="8"/>
    </row>
    <row r="577" ht="15.75" customHeight="1">
      <c r="A577" s="19">
        <v>89.0</v>
      </c>
      <c r="B577" s="19" t="s">
        <v>135</v>
      </c>
      <c r="C577" s="19" t="s">
        <v>136</v>
      </c>
      <c r="D577" s="20" t="s">
        <v>30</v>
      </c>
      <c r="E577" s="21" t="s">
        <v>12</v>
      </c>
      <c r="F577" s="22">
        <v>10.57</v>
      </c>
      <c r="G577" s="22">
        <f>F577-'Estatística'!$D$6/'Estatística'!$D$10</f>
        <v>9.566980371</v>
      </c>
      <c r="H577" s="23">
        <v>45035.0</v>
      </c>
      <c r="I577" s="24" t="str">
        <f t="shared" si="1"/>
        <v>abr.</v>
      </c>
      <c r="O577" s="8"/>
    </row>
    <row r="578" ht="15.75" customHeight="1">
      <c r="A578" s="9">
        <v>88.0</v>
      </c>
      <c r="B578" s="9" t="s">
        <v>200</v>
      </c>
      <c r="C578" s="9" t="s">
        <v>206</v>
      </c>
      <c r="D578" s="10" t="s">
        <v>30</v>
      </c>
      <c r="E578" s="11" t="s">
        <v>68</v>
      </c>
      <c r="F578" s="12">
        <v>7.61</v>
      </c>
      <c r="G578" s="12">
        <f>F578-'Estatística'!$D$6/'Estatística'!$D$10</f>
        <v>6.606980371</v>
      </c>
      <c r="H578" s="13">
        <v>45035.0</v>
      </c>
      <c r="I578" s="14" t="str">
        <f t="shared" si="1"/>
        <v>abr.</v>
      </c>
      <c r="O578" s="8"/>
    </row>
    <row r="579" ht="15.75" customHeight="1">
      <c r="A579" s="19">
        <v>19.0</v>
      </c>
      <c r="B579" s="19" t="s">
        <v>41</v>
      </c>
      <c r="C579" s="19" t="s">
        <v>193</v>
      </c>
      <c r="D579" s="20" t="s">
        <v>30</v>
      </c>
      <c r="E579" s="21" t="s">
        <v>43</v>
      </c>
      <c r="F579" s="22">
        <v>17.52</v>
      </c>
      <c r="G579" s="22">
        <f>F579-'Estatística'!$D$6/'Estatística'!$D$10</f>
        <v>16.51698037</v>
      </c>
      <c r="H579" s="23">
        <v>45035.0</v>
      </c>
      <c r="I579" s="24" t="str">
        <f t="shared" si="1"/>
        <v>abr.</v>
      </c>
      <c r="O579" s="8"/>
    </row>
    <row r="580" ht="15.75" customHeight="1">
      <c r="A580" s="9">
        <v>82.0</v>
      </c>
      <c r="B580" s="9" t="s">
        <v>231</v>
      </c>
      <c r="C580" s="9" t="s">
        <v>232</v>
      </c>
      <c r="D580" s="10" t="s">
        <v>30</v>
      </c>
      <c r="E580" s="11" t="s">
        <v>82</v>
      </c>
      <c r="F580" s="12">
        <v>14.53</v>
      </c>
      <c r="G580" s="12">
        <f>F580-'Estatística'!$D$6/'Estatística'!$D$10</f>
        <v>13.52698037</v>
      </c>
      <c r="H580" s="13">
        <v>45035.0</v>
      </c>
      <c r="I580" s="14" t="str">
        <f t="shared" si="1"/>
        <v>abr.</v>
      </c>
      <c r="O580" s="8"/>
    </row>
    <row r="581" ht="15.75" customHeight="1">
      <c r="A581" s="19">
        <v>81.0</v>
      </c>
      <c r="B581" s="19" t="s">
        <v>54</v>
      </c>
      <c r="C581" s="19" t="s">
        <v>55</v>
      </c>
      <c r="D581" s="20" t="s">
        <v>30</v>
      </c>
      <c r="E581" s="21" t="s">
        <v>76</v>
      </c>
      <c r="F581" s="22">
        <v>12.11</v>
      </c>
      <c r="G581" s="22">
        <f>F581-'Estatística'!$D$6/'Estatística'!$D$10</f>
        <v>11.10698037</v>
      </c>
      <c r="H581" s="23">
        <v>45035.0</v>
      </c>
      <c r="I581" s="24" t="str">
        <f t="shared" si="1"/>
        <v>abr.</v>
      </c>
      <c r="O581" s="8"/>
    </row>
    <row r="582" ht="15.75" customHeight="1">
      <c r="A582" s="9">
        <v>63.0</v>
      </c>
      <c r="B582" s="9" t="s">
        <v>225</v>
      </c>
      <c r="C582" s="9" t="s">
        <v>226</v>
      </c>
      <c r="D582" s="10" t="s">
        <v>30</v>
      </c>
      <c r="E582" s="11" t="s">
        <v>35</v>
      </c>
      <c r="F582" s="12">
        <v>15.4</v>
      </c>
      <c r="G582" s="12">
        <f>F582-'Estatística'!$D$6/'Estatística'!$D$10</f>
        <v>14.39698037</v>
      </c>
      <c r="H582" s="13">
        <v>45035.0</v>
      </c>
      <c r="I582" s="14" t="str">
        <f t="shared" si="1"/>
        <v>abr.</v>
      </c>
      <c r="O582" s="8"/>
    </row>
    <row r="583" ht="15.75" customHeight="1">
      <c r="A583" s="19">
        <v>55.0</v>
      </c>
      <c r="B583" s="19" t="s">
        <v>202</v>
      </c>
      <c r="C583" s="19" t="s">
        <v>203</v>
      </c>
      <c r="D583" s="20" t="s">
        <v>11</v>
      </c>
      <c r="E583" s="21" t="s">
        <v>52</v>
      </c>
      <c r="F583" s="22">
        <v>60.6</v>
      </c>
      <c r="G583" s="22">
        <f>F583-'Estatística'!$D$6/'Estatística'!$D$10</f>
        <v>59.59698037</v>
      </c>
      <c r="H583" s="23">
        <v>45036.0</v>
      </c>
      <c r="I583" s="24" t="str">
        <f t="shared" si="1"/>
        <v>abr.</v>
      </c>
      <c r="O583" s="8"/>
    </row>
    <row r="584" ht="15.75" customHeight="1">
      <c r="A584" s="9">
        <v>69.0</v>
      </c>
      <c r="B584" s="9" t="s">
        <v>108</v>
      </c>
      <c r="C584" s="9" t="s">
        <v>145</v>
      </c>
      <c r="D584" s="10" t="s">
        <v>30</v>
      </c>
      <c r="E584" s="11" t="s">
        <v>12</v>
      </c>
      <c r="F584" s="12">
        <v>10.46</v>
      </c>
      <c r="G584" s="12">
        <f>F584-'Estatística'!$D$6/'Estatística'!$D$10</f>
        <v>9.456980371</v>
      </c>
      <c r="H584" s="13">
        <v>45036.0</v>
      </c>
      <c r="I584" s="14" t="str">
        <f t="shared" si="1"/>
        <v>abr.</v>
      </c>
      <c r="O584" s="8"/>
    </row>
    <row r="585" ht="15.75" customHeight="1">
      <c r="A585" s="19">
        <v>13.0</v>
      </c>
      <c r="B585" s="19" t="s">
        <v>137</v>
      </c>
      <c r="C585" s="19" t="s">
        <v>138</v>
      </c>
      <c r="D585" s="20" t="s">
        <v>30</v>
      </c>
      <c r="E585" s="21" t="s">
        <v>82</v>
      </c>
      <c r="F585" s="22">
        <v>10.07</v>
      </c>
      <c r="G585" s="22">
        <f>F585-'Estatística'!$D$6/'Estatística'!$D$10</f>
        <v>9.066980371</v>
      </c>
      <c r="H585" s="23">
        <v>45036.0</v>
      </c>
      <c r="I585" s="24" t="str">
        <f t="shared" si="1"/>
        <v>abr.</v>
      </c>
      <c r="O585" s="8"/>
    </row>
    <row r="586" ht="15.75" customHeight="1">
      <c r="A586" s="9">
        <v>10.0</v>
      </c>
      <c r="B586" s="9" t="s">
        <v>148</v>
      </c>
      <c r="C586" s="9" t="s">
        <v>149</v>
      </c>
      <c r="D586" s="10" t="s">
        <v>11</v>
      </c>
      <c r="E586" s="11" t="s">
        <v>52</v>
      </c>
      <c r="F586" s="12">
        <v>56.69</v>
      </c>
      <c r="G586" s="12">
        <f>F586-'Estatística'!$D$6/'Estatística'!$D$10</f>
        <v>55.68698037</v>
      </c>
      <c r="H586" s="13">
        <v>45036.0</v>
      </c>
      <c r="I586" s="14" t="str">
        <f t="shared" si="1"/>
        <v>abr.</v>
      </c>
      <c r="O586" s="8"/>
    </row>
    <row r="587" ht="15.75" customHeight="1">
      <c r="A587" s="19">
        <v>60.0</v>
      </c>
      <c r="B587" s="19" t="s">
        <v>65</v>
      </c>
      <c r="C587" s="19" t="s">
        <v>66</v>
      </c>
      <c r="D587" s="20" t="s">
        <v>30</v>
      </c>
      <c r="E587" s="21" t="s">
        <v>72</v>
      </c>
      <c r="F587" s="22">
        <v>15.15</v>
      </c>
      <c r="G587" s="22">
        <f>F587-'Estatística'!$D$6/'Estatística'!$D$10</f>
        <v>14.14698037</v>
      </c>
      <c r="H587" s="23">
        <v>45037.0</v>
      </c>
      <c r="I587" s="24" t="str">
        <f t="shared" si="1"/>
        <v>abr.</v>
      </c>
      <c r="O587" s="8"/>
    </row>
    <row r="588" ht="15.75" customHeight="1">
      <c r="A588" s="9">
        <v>80.0</v>
      </c>
      <c r="B588" s="9" t="s">
        <v>37</v>
      </c>
      <c r="C588" s="9" t="s">
        <v>38</v>
      </c>
      <c r="D588" s="10" t="s">
        <v>30</v>
      </c>
      <c r="E588" s="11" t="s">
        <v>85</v>
      </c>
      <c r="F588" s="12">
        <v>16.45</v>
      </c>
      <c r="G588" s="12">
        <f>F588-'Estatística'!$D$6/'Estatística'!$D$10</f>
        <v>15.44698037</v>
      </c>
      <c r="H588" s="13">
        <v>45037.0</v>
      </c>
      <c r="I588" s="14" t="str">
        <f t="shared" si="1"/>
        <v>abr.</v>
      </c>
      <c r="O588" s="8"/>
    </row>
    <row r="589" ht="15.75" customHeight="1">
      <c r="A589" s="19">
        <v>27.0</v>
      </c>
      <c r="B589" s="19" t="s">
        <v>173</v>
      </c>
      <c r="C589" s="19" t="s">
        <v>174</v>
      </c>
      <c r="D589" s="20" t="s">
        <v>11</v>
      </c>
      <c r="E589" s="21" t="s">
        <v>82</v>
      </c>
      <c r="F589" s="22">
        <v>10.57</v>
      </c>
      <c r="G589" s="22">
        <f>F589-'Estatística'!$D$6/'Estatística'!$D$10</f>
        <v>9.566980371</v>
      </c>
      <c r="H589" s="23">
        <v>45037.0</v>
      </c>
      <c r="I589" s="24" t="str">
        <f t="shared" si="1"/>
        <v>abr.</v>
      </c>
      <c r="O589" s="8"/>
    </row>
    <row r="590" ht="15.75" customHeight="1">
      <c r="A590" s="9">
        <v>35.0</v>
      </c>
      <c r="B590" s="9" t="s">
        <v>125</v>
      </c>
      <c r="C590" s="9" t="s">
        <v>126</v>
      </c>
      <c r="D590" s="10" t="s">
        <v>11</v>
      </c>
      <c r="E590" s="11" t="s">
        <v>35</v>
      </c>
      <c r="F590" s="12">
        <v>21.24</v>
      </c>
      <c r="G590" s="12">
        <f>F590-'Estatística'!$D$6/'Estatística'!$D$10</f>
        <v>20.23698037</v>
      </c>
      <c r="H590" s="13">
        <v>45037.0</v>
      </c>
      <c r="I590" s="14" t="str">
        <f t="shared" si="1"/>
        <v>abr.</v>
      </c>
      <c r="O590" s="8"/>
    </row>
    <row r="591" ht="15.75" customHeight="1">
      <c r="A591" s="19">
        <v>77.0</v>
      </c>
      <c r="B591" s="19" t="s">
        <v>9</v>
      </c>
      <c r="C591" s="19" t="s">
        <v>169</v>
      </c>
      <c r="D591" s="20" t="s">
        <v>30</v>
      </c>
      <c r="E591" s="21" t="s">
        <v>60</v>
      </c>
      <c r="F591" s="22">
        <v>47.57</v>
      </c>
      <c r="G591" s="22">
        <f>F591-'Estatística'!$D$6/'Estatística'!$D$10</f>
        <v>46.56698037</v>
      </c>
      <c r="H591" s="23">
        <v>45037.0</v>
      </c>
      <c r="I591" s="24" t="str">
        <f t="shared" si="1"/>
        <v>abr.</v>
      </c>
      <c r="O591" s="8"/>
    </row>
    <row r="592" ht="15.75" customHeight="1">
      <c r="A592" s="9">
        <v>31.0</v>
      </c>
      <c r="B592" s="9" t="s">
        <v>229</v>
      </c>
      <c r="C592" s="9" t="s">
        <v>230</v>
      </c>
      <c r="D592" s="10" t="s">
        <v>11</v>
      </c>
      <c r="E592" s="11" t="s">
        <v>79</v>
      </c>
      <c r="F592" s="12">
        <v>35.07</v>
      </c>
      <c r="G592" s="12">
        <f>F592-'Estatística'!$D$6/'Estatística'!$D$10</f>
        <v>34.06698037</v>
      </c>
      <c r="H592" s="13">
        <v>45038.0</v>
      </c>
      <c r="I592" s="14" t="str">
        <f t="shared" si="1"/>
        <v>abr.</v>
      </c>
      <c r="O592" s="8"/>
    </row>
    <row r="593" ht="15.75" customHeight="1">
      <c r="A593" s="19">
        <v>74.0</v>
      </c>
      <c r="B593" s="19" t="s">
        <v>9</v>
      </c>
      <c r="C593" s="19" t="s">
        <v>124</v>
      </c>
      <c r="D593" s="20" t="s">
        <v>11</v>
      </c>
      <c r="E593" s="21" t="s">
        <v>91</v>
      </c>
      <c r="F593" s="22">
        <v>2.52</v>
      </c>
      <c r="G593" s="22">
        <f>F593-'Estatística'!$D$6/'Estatística'!$D$10</f>
        <v>1.516980371</v>
      </c>
      <c r="H593" s="23">
        <v>45038.0</v>
      </c>
      <c r="I593" s="24" t="str">
        <f t="shared" si="1"/>
        <v>abr.</v>
      </c>
      <c r="O593" s="8"/>
    </row>
    <row r="594" ht="15.75" customHeight="1">
      <c r="A594" s="9">
        <v>88.0</v>
      </c>
      <c r="B594" s="9" t="s">
        <v>200</v>
      </c>
      <c r="C594" s="9" t="s">
        <v>206</v>
      </c>
      <c r="D594" s="10" t="s">
        <v>11</v>
      </c>
      <c r="E594" s="11" t="s">
        <v>68</v>
      </c>
      <c r="F594" s="12">
        <v>17.24</v>
      </c>
      <c r="G594" s="12">
        <f>F594-'Estatística'!$D$6/'Estatística'!$D$10</f>
        <v>16.23698037</v>
      </c>
      <c r="H594" s="13">
        <v>45038.0</v>
      </c>
      <c r="I594" s="14" t="str">
        <f t="shared" si="1"/>
        <v>abr.</v>
      </c>
      <c r="O594" s="8"/>
    </row>
    <row r="595" ht="15.75" customHeight="1">
      <c r="A595" s="19">
        <v>79.0</v>
      </c>
      <c r="B595" s="19" t="s">
        <v>101</v>
      </c>
      <c r="C595" s="19" t="s">
        <v>102</v>
      </c>
      <c r="D595" s="20" t="s">
        <v>11</v>
      </c>
      <c r="E595" s="21" t="s">
        <v>76</v>
      </c>
      <c r="F595" s="22">
        <v>11.48</v>
      </c>
      <c r="G595" s="22">
        <f>F595-'Estatística'!$D$6/'Estatística'!$D$10</f>
        <v>10.47698037</v>
      </c>
      <c r="H595" s="23">
        <v>45038.0</v>
      </c>
      <c r="I595" s="24" t="str">
        <f t="shared" si="1"/>
        <v>abr.</v>
      </c>
      <c r="O595" s="8"/>
    </row>
    <row r="596" ht="15.75" customHeight="1">
      <c r="A596" s="9">
        <v>91.0</v>
      </c>
      <c r="B596" s="9" t="s">
        <v>112</v>
      </c>
      <c r="C596" s="9" t="s">
        <v>113</v>
      </c>
      <c r="D596" s="10" t="s">
        <v>30</v>
      </c>
      <c r="E596" s="11" t="s">
        <v>46</v>
      </c>
      <c r="F596" s="12">
        <v>13.25</v>
      </c>
      <c r="G596" s="12">
        <f>F596-'Estatística'!$D$6/'Estatística'!$D$10</f>
        <v>12.24698037</v>
      </c>
      <c r="H596" s="13">
        <v>45038.0</v>
      </c>
      <c r="I596" s="14" t="str">
        <f t="shared" si="1"/>
        <v>abr.</v>
      </c>
      <c r="O596" s="8"/>
    </row>
    <row r="597" ht="15.75" customHeight="1">
      <c r="A597" s="19">
        <v>63.0</v>
      </c>
      <c r="B597" s="19" t="s">
        <v>225</v>
      </c>
      <c r="C597" s="19" t="s">
        <v>226</v>
      </c>
      <c r="D597" s="20" t="s">
        <v>30</v>
      </c>
      <c r="E597" s="21" t="s">
        <v>79</v>
      </c>
      <c r="F597" s="22">
        <v>26.81</v>
      </c>
      <c r="G597" s="22">
        <f>F597-'Estatística'!$D$6/'Estatística'!$D$10</f>
        <v>25.80698037</v>
      </c>
      <c r="H597" s="23">
        <v>45038.0</v>
      </c>
      <c r="I597" s="24" t="str">
        <f t="shared" si="1"/>
        <v>abr.</v>
      </c>
      <c r="O597" s="8"/>
    </row>
    <row r="598" ht="15.75" customHeight="1">
      <c r="A598" s="9">
        <v>43.0</v>
      </c>
      <c r="B598" s="9" t="s">
        <v>95</v>
      </c>
      <c r="C598" s="9" t="s">
        <v>96</v>
      </c>
      <c r="D598" s="10" t="s">
        <v>30</v>
      </c>
      <c r="E598" s="11" t="s">
        <v>50</v>
      </c>
      <c r="F598" s="12">
        <v>24.91</v>
      </c>
      <c r="G598" s="12">
        <f>F598-'Estatística'!$D$6/'Estatística'!$D$10</f>
        <v>23.90698037</v>
      </c>
      <c r="H598" s="13">
        <v>45038.0</v>
      </c>
      <c r="I598" s="14" t="str">
        <f t="shared" si="1"/>
        <v>abr.</v>
      </c>
      <c r="O598" s="8"/>
    </row>
    <row r="599" ht="15.75" customHeight="1">
      <c r="A599" s="19">
        <v>56.0</v>
      </c>
      <c r="B599" s="19" t="s">
        <v>127</v>
      </c>
      <c r="C599" s="19" t="s">
        <v>128</v>
      </c>
      <c r="D599" s="20" t="s">
        <v>11</v>
      </c>
      <c r="E599" s="21" t="s">
        <v>50</v>
      </c>
      <c r="F599" s="22">
        <v>28.59</v>
      </c>
      <c r="G599" s="22">
        <f>F599-'Estatística'!$D$6/'Estatística'!$D$10</f>
        <v>27.58698037</v>
      </c>
      <c r="H599" s="23">
        <v>45038.0</v>
      </c>
      <c r="I599" s="24" t="str">
        <f t="shared" si="1"/>
        <v>abr.</v>
      </c>
      <c r="O599" s="8"/>
    </row>
    <row r="600" ht="15.75" customHeight="1">
      <c r="A600" s="9">
        <v>2.0</v>
      </c>
      <c r="B600" s="9" t="s">
        <v>83</v>
      </c>
      <c r="C600" s="9" t="s">
        <v>84</v>
      </c>
      <c r="D600" s="10" t="s">
        <v>30</v>
      </c>
      <c r="E600" s="11" t="s">
        <v>31</v>
      </c>
      <c r="F600" s="12">
        <v>38.39</v>
      </c>
      <c r="G600" s="12">
        <f>F600-'Estatística'!$D$6/'Estatística'!$D$10</f>
        <v>37.38698037</v>
      </c>
      <c r="H600" s="13">
        <v>45038.0</v>
      </c>
      <c r="I600" s="14" t="str">
        <f t="shared" si="1"/>
        <v>abr.</v>
      </c>
      <c r="O600" s="8"/>
    </row>
    <row r="601" ht="15.75" customHeight="1">
      <c r="A601" s="19">
        <v>85.0</v>
      </c>
      <c r="B601" s="19" t="s">
        <v>198</v>
      </c>
      <c r="C601" s="19" t="s">
        <v>199</v>
      </c>
      <c r="D601" s="20" t="s">
        <v>30</v>
      </c>
      <c r="E601" s="21" t="s">
        <v>56</v>
      </c>
      <c r="F601" s="22">
        <v>74.74</v>
      </c>
      <c r="G601" s="22">
        <f>F601-'Estatística'!$D$6/'Estatística'!$D$10</f>
        <v>73.73698037</v>
      </c>
      <c r="H601" s="23">
        <v>45039.0</v>
      </c>
      <c r="I601" s="24" t="str">
        <f t="shared" si="1"/>
        <v>abr.</v>
      </c>
      <c r="O601" s="8"/>
    </row>
    <row r="602" ht="15.75" customHeight="1">
      <c r="A602" s="9">
        <v>44.0</v>
      </c>
      <c r="B602" s="9" t="s">
        <v>215</v>
      </c>
      <c r="C602" s="9" t="s">
        <v>216</v>
      </c>
      <c r="D602" s="10" t="s">
        <v>11</v>
      </c>
      <c r="E602" s="11" t="s">
        <v>97</v>
      </c>
      <c r="F602" s="12">
        <v>3.21</v>
      </c>
      <c r="G602" s="12">
        <f>F602-'Estatística'!$D$6/'Estatística'!$D$10</f>
        <v>2.206980371</v>
      </c>
      <c r="H602" s="13">
        <v>45039.0</v>
      </c>
      <c r="I602" s="14" t="str">
        <f t="shared" si="1"/>
        <v>abr.</v>
      </c>
      <c r="O602" s="8"/>
    </row>
    <row r="603" ht="15.75" customHeight="1">
      <c r="A603" s="19">
        <v>53.0</v>
      </c>
      <c r="B603" s="19" t="s">
        <v>241</v>
      </c>
      <c r="C603" s="19" t="s">
        <v>242</v>
      </c>
      <c r="D603" s="20" t="s">
        <v>11</v>
      </c>
      <c r="E603" s="21" t="s">
        <v>85</v>
      </c>
      <c r="F603" s="22">
        <v>12.32</v>
      </c>
      <c r="G603" s="22">
        <f>F603-'Estatística'!$D$6/'Estatística'!$D$10</f>
        <v>11.31698037</v>
      </c>
      <c r="H603" s="23">
        <v>45039.0</v>
      </c>
      <c r="I603" s="24" t="str">
        <f t="shared" si="1"/>
        <v>abr.</v>
      </c>
      <c r="O603" s="8"/>
    </row>
    <row r="604" ht="15.75" customHeight="1">
      <c r="A604" s="9">
        <v>34.0</v>
      </c>
      <c r="B604" s="9" t="s">
        <v>177</v>
      </c>
      <c r="C604" s="9" t="s">
        <v>178</v>
      </c>
      <c r="D604" s="10" t="s">
        <v>30</v>
      </c>
      <c r="E604" s="11" t="s">
        <v>31</v>
      </c>
      <c r="F604" s="12">
        <v>56.47</v>
      </c>
      <c r="G604" s="12">
        <f>F604-'Estatística'!$D$6/'Estatística'!$D$10</f>
        <v>55.46698037</v>
      </c>
      <c r="H604" s="13">
        <v>45040.0</v>
      </c>
      <c r="I604" s="14" t="str">
        <f t="shared" si="1"/>
        <v>abr.</v>
      </c>
      <c r="O604" s="8"/>
    </row>
    <row r="605" ht="15.75" customHeight="1">
      <c r="A605" s="19">
        <v>15.0</v>
      </c>
      <c r="B605" s="19" t="s">
        <v>58</v>
      </c>
      <c r="C605" s="19" t="s">
        <v>59</v>
      </c>
      <c r="D605" s="20" t="s">
        <v>11</v>
      </c>
      <c r="E605" s="21" t="s">
        <v>43</v>
      </c>
      <c r="F605" s="22">
        <v>18.32</v>
      </c>
      <c r="G605" s="22">
        <f>F605-'Estatística'!$D$6/'Estatística'!$D$10</f>
        <v>17.31698037</v>
      </c>
      <c r="H605" s="23">
        <v>45040.0</v>
      </c>
      <c r="I605" s="24" t="str">
        <f t="shared" si="1"/>
        <v>abr.</v>
      </c>
      <c r="O605" s="8"/>
    </row>
    <row r="606" ht="15.75" customHeight="1">
      <c r="A606" s="9">
        <v>72.0</v>
      </c>
      <c r="B606" s="9" t="s">
        <v>133</v>
      </c>
      <c r="C606" s="9" t="s">
        <v>134</v>
      </c>
      <c r="D606" s="10" t="s">
        <v>11</v>
      </c>
      <c r="E606" s="11" t="s">
        <v>88</v>
      </c>
      <c r="F606" s="12">
        <v>31.5</v>
      </c>
      <c r="G606" s="12">
        <f>F606-'Estatística'!$D$6/'Estatística'!$D$10</f>
        <v>30.49698037</v>
      </c>
      <c r="H606" s="13">
        <v>45040.0</v>
      </c>
      <c r="I606" s="14" t="str">
        <f t="shared" si="1"/>
        <v>abr.</v>
      </c>
      <c r="O606" s="8"/>
    </row>
    <row r="607" ht="15.75" customHeight="1">
      <c r="A607" s="19">
        <v>5.0</v>
      </c>
      <c r="B607" s="19" t="s">
        <v>167</v>
      </c>
      <c r="C607" s="19" t="s">
        <v>168</v>
      </c>
      <c r="D607" s="20" t="s">
        <v>11</v>
      </c>
      <c r="E607" s="21" t="s">
        <v>56</v>
      </c>
      <c r="F607" s="22">
        <v>69.58</v>
      </c>
      <c r="G607" s="22">
        <f>F607-'Estatística'!$D$6/'Estatística'!$D$10</f>
        <v>68.57698037</v>
      </c>
      <c r="H607" s="23">
        <v>45040.0</v>
      </c>
      <c r="I607" s="24" t="str">
        <f t="shared" si="1"/>
        <v>abr.</v>
      </c>
      <c r="O607" s="8"/>
    </row>
    <row r="608" ht="15.75" customHeight="1">
      <c r="A608" s="9">
        <v>86.0</v>
      </c>
      <c r="B608" s="9" t="s">
        <v>62</v>
      </c>
      <c r="C608" s="9" t="s">
        <v>63</v>
      </c>
      <c r="D608" s="10" t="s">
        <v>30</v>
      </c>
      <c r="E608" s="11" t="s">
        <v>46</v>
      </c>
      <c r="F608" s="12">
        <v>12.98</v>
      </c>
      <c r="G608" s="12">
        <f>F608-'Estatística'!$D$6/'Estatística'!$D$10</f>
        <v>11.97698037</v>
      </c>
      <c r="H608" s="13">
        <v>45041.0</v>
      </c>
      <c r="I608" s="14" t="str">
        <f t="shared" si="1"/>
        <v>abr.</v>
      </c>
      <c r="O608" s="8"/>
    </row>
    <row r="609" ht="15.75" customHeight="1">
      <c r="A609" s="19">
        <v>50.0</v>
      </c>
      <c r="B609" s="19" t="s">
        <v>33</v>
      </c>
      <c r="C609" s="19" t="s">
        <v>34</v>
      </c>
      <c r="D609" s="20" t="s">
        <v>11</v>
      </c>
      <c r="E609" s="21" t="s">
        <v>50</v>
      </c>
      <c r="F609" s="22">
        <v>25.03</v>
      </c>
      <c r="G609" s="22">
        <f>F609-'Estatística'!$D$6/'Estatística'!$D$10</f>
        <v>24.02698037</v>
      </c>
      <c r="H609" s="23">
        <v>45041.0</v>
      </c>
      <c r="I609" s="24" t="str">
        <f t="shared" si="1"/>
        <v>abr.</v>
      </c>
      <c r="O609" s="8"/>
    </row>
    <row r="610" ht="15.75" customHeight="1">
      <c r="A610" s="9">
        <v>66.0</v>
      </c>
      <c r="B610" s="9" t="s">
        <v>150</v>
      </c>
      <c r="C610" s="9" t="s">
        <v>158</v>
      </c>
      <c r="D610" s="10" t="s">
        <v>11</v>
      </c>
      <c r="E610" s="11" t="s">
        <v>52</v>
      </c>
      <c r="F610" s="12">
        <v>47.04</v>
      </c>
      <c r="G610" s="12">
        <f>F610-'Estatística'!$D$6/'Estatística'!$D$10</f>
        <v>46.03698037</v>
      </c>
      <c r="H610" s="13">
        <v>45041.0</v>
      </c>
      <c r="I610" s="14" t="str">
        <f t="shared" si="1"/>
        <v>abr.</v>
      </c>
      <c r="O610" s="8"/>
    </row>
    <row r="611" ht="15.75" customHeight="1">
      <c r="A611" s="19">
        <v>45.0</v>
      </c>
      <c r="B611" s="19" t="s">
        <v>221</v>
      </c>
      <c r="C611" s="19" t="s">
        <v>222</v>
      </c>
      <c r="D611" s="20" t="s">
        <v>11</v>
      </c>
      <c r="E611" s="21" t="s">
        <v>56</v>
      </c>
      <c r="F611" s="22">
        <v>66.35</v>
      </c>
      <c r="G611" s="22">
        <f>F611-'Estatística'!$D$6/'Estatística'!$D$10</f>
        <v>65.34698037</v>
      </c>
      <c r="H611" s="23">
        <v>45041.0</v>
      </c>
      <c r="I611" s="24" t="str">
        <f t="shared" si="1"/>
        <v>abr.</v>
      </c>
      <c r="O611" s="8"/>
    </row>
    <row r="612" ht="15.75" customHeight="1">
      <c r="A612" s="9">
        <v>69.0</v>
      </c>
      <c r="B612" s="9" t="s">
        <v>108</v>
      </c>
      <c r="C612" s="9" t="s">
        <v>145</v>
      </c>
      <c r="D612" s="10" t="s">
        <v>11</v>
      </c>
      <c r="E612" s="11" t="s">
        <v>35</v>
      </c>
      <c r="F612" s="12">
        <v>16.61</v>
      </c>
      <c r="G612" s="12">
        <f>F612-'Estatística'!$D$6/'Estatística'!$D$10</f>
        <v>15.60698037</v>
      </c>
      <c r="H612" s="13">
        <v>45041.0</v>
      </c>
      <c r="I612" s="14" t="str">
        <f t="shared" si="1"/>
        <v>abr.</v>
      </c>
      <c r="O612" s="8"/>
    </row>
    <row r="613" ht="15.75" customHeight="1">
      <c r="A613" s="19">
        <v>50.0</v>
      </c>
      <c r="B613" s="19" t="s">
        <v>33</v>
      </c>
      <c r="C613" s="19" t="s">
        <v>34</v>
      </c>
      <c r="D613" s="20" t="s">
        <v>11</v>
      </c>
      <c r="E613" s="21" t="s">
        <v>56</v>
      </c>
      <c r="F613" s="22">
        <v>67.65</v>
      </c>
      <c r="G613" s="22">
        <f>F613-'Estatística'!$D$6/'Estatística'!$D$10</f>
        <v>66.64698037</v>
      </c>
      <c r="H613" s="23">
        <v>45041.0</v>
      </c>
      <c r="I613" s="24" t="str">
        <f t="shared" si="1"/>
        <v>abr.</v>
      </c>
      <c r="O613" s="8"/>
    </row>
    <row r="614" ht="15.75" customHeight="1">
      <c r="A614" s="9">
        <v>89.0</v>
      </c>
      <c r="B614" s="9" t="s">
        <v>135</v>
      </c>
      <c r="C614" s="9" t="s">
        <v>136</v>
      </c>
      <c r="D614" s="10" t="s">
        <v>30</v>
      </c>
      <c r="E614" s="11" t="s">
        <v>85</v>
      </c>
      <c r="F614" s="12">
        <v>14.39</v>
      </c>
      <c r="G614" s="12">
        <f>F614-'Estatística'!$D$6/'Estatística'!$D$10</f>
        <v>13.38698037</v>
      </c>
      <c r="H614" s="13">
        <v>45041.0</v>
      </c>
      <c r="I614" s="14" t="str">
        <f t="shared" si="1"/>
        <v>abr.</v>
      </c>
      <c r="O614" s="8"/>
    </row>
    <row r="615" ht="15.75" customHeight="1">
      <c r="A615" s="19">
        <v>4.0</v>
      </c>
      <c r="B615" s="19" t="s">
        <v>118</v>
      </c>
      <c r="C615" s="19" t="s">
        <v>119</v>
      </c>
      <c r="D615" s="20" t="s">
        <v>11</v>
      </c>
      <c r="E615" s="21" t="s">
        <v>50</v>
      </c>
      <c r="F615" s="22">
        <v>29.89</v>
      </c>
      <c r="G615" s="22">
        <f>F615-'Estatística'!$D$6/'Estatística'!$D$10</f>
        <v>28.88698037</v>
      </c>
      <c r="H615" s="23">
        <v>45041.0</v>
      </c>
      <c r="I615" s="24" t="str">
        <f t="shared" si="1"/>
        <v>abr.</v>
      </c>
      <c r="O615" s="8"/>
    </row>
    <row r="616" ht="15.75" customHeight="1">
      <c r="A616" s="9">
        <v>70.0</v>
      </c>
      <c r="B616" s="9" t="s">
        <v>152</v>
      </c>
      <c r="C616" s="9" t="s">
        <v>153</v>
      </c>
      <c r="D616" s="10" t="s">
        <v>11</v>
      </c>
      <c r="E616" s="11" t="s">
        <v>91</v>
      </c>
      <c r="F616" s="12">
        <v>2.34</v>
      </c>
      <c r="G616" s="12">
        <f>F616-'Estatística'!$D$6/'Estatística'!$D$10</f>
        <v>1.336980371</v>
      </c>
      <c r="H616" s="13">
        <v>45041.0</v>
      </c>
      <c r="I616" s="14" t="str">
        <f t="shared" si="1"/>
        <v>abr.</v>
      </c>
      <c r="O616" s="8"/>
    </row>
    <row r="617" ht="15.75" customHeight="1">
      <c r="A617" s="19">
        <v>20.0</v>
      </c>
      <c r="B617" s="19" t="s">
        <v>161</v>
      </c>
      <c r="C617" s="19" t="s">
        <v>162</v>
      </c>
      <c r="D617" s="20" t="s">
        <v>11</v>
      </c>
      <c r="E617" s="21" t="s">
        <v>39</v>
      </c>
      <c r="F617" s="22">
        <v>25.9</v>
      </c>
      <c r="G617" s="22">
        <f>F617-'Estatística'!$D$6/'Estatística'!$D$10</f>
        <v>24.89698037</v>
      </c>
      <c r="H617" s="23">
        <v>45041.0</v>
      </c>
      <c r="I617" s="24" t="str">
        <f t="shared" si="1"/>
        <v>abr.</v>
      </c>
      <c r="O617" s="8"/>
    </row>
    <row r="618" ht="15.75" customHeight="1">
      <c r="A618" s="9">
        <v>12.0</v>
      </c>
      <c r="B618" s="9" t="s">
        <v>188</v>
      </c>
      <c r="C618" s="9" t="s">
        <v>189</v>
      </c>
      <c r="D618" s="10" t="s">
        <v>30</v>
      </c>
      <c r="E618" s="11" t="s">
        <v>39</v>
      </c>
      <c r="F618" s="12">
        <v>36.72</v>
      </c>
      <c r="G618" s="12">
        <f>F618-'Estatística'!$D$6/'Estatística'!$D$10</f>
        <v>35.71698037</v>
      </c>
      <c r="H618" s="13">
        <v>45041.0</v>
      </c>
      <c r="I618" s="14" t="str">
        <f t="shared" si="1"/>
        <v>abr.</v>
      </c>
      <c r="O618" s="8"/>
    </row>
    <row r="619" ht="15.75" customHeight="1">
      <c r="A619" s="19">
        <v>57.0</v>
      </c>
      <c r="B619" s="19" t="s">
        <v>92</v>
      </c>
      <c r="C619" s="19" t="s">
        <v>190</v>
      </c>
      <c r="D619" s="20" t="s">
        <v>11</v>
      </c>
      <c r="E619" s="21" t="s">
        <v>52</v>
      </c>
      <c r="F619" s="22">
        <v>52.71</v>
      </c>
      <c r="G619" s="22">
        <f>F619-'Estatística'!$D$6/'Estatística'!$D$10</f>
        <v>51.70698037</v>
      </c>
      <c r="H619" s="23">
        <v>45042.0</v>
      </c>
      <c r="I619" s="24" t="str">
        <f t="shared" si="1"/>
        <v>abr.</v>
      </c>
      <c r="O619" s="8"/>
    </row>
    <row r="620" ht="15.75" customHeight="1">
      <c r="A620" s="9">
        <v>60.0</v>
      </c>
      <c r="B620" s="9" t="s">
        <v>65</v>
      </c>
      <c r="C620" s="9" t="s">
        <v>66</v>
      </c>
      <c r="D620" s="10" t="s">
        <v>30</v>
      </c>
      <c r="E620" s="11" t="s">
        <v>88</v>
      </c>
      <c r="F620" s="12">
        <v>40.66</v>
      </c>
      <c r="G620" s="12">
        <f>F620-'Estatística'!$D$6/'Estatística'!$D$10</f>
        <v>39.65698037</v>
      </c>
      <c r="H620" s="13">
        <v>45042.0</v>
      </c>
      <c r="I620" s="14" t="str">
        <f t="shared" si="1"/>
        <v>abr.</v>
      </c>
      <c r="O620" s="8"/>
    </row>
    <row r="621" ht="15.75" customHeight="1">
      <c r="A621" s="19">
        <v>87.0</v>
      </c>
      <c r="B621" s="19" t="s">
        <v>243</v>
      </c>
      <c r="C621" s="19" t="s">
        <v>244</v>
      </c>
      <c r="D621" s="20" t="s">
        <v>30</v>
      </c>
      <c r="E621" s="21" t="s">
        <v>88</v>
      </c>
      <c r="F621" s="22">
        <v>36.01</v>
      </c>
      <c r="G621" s="22">
        <f>F621-'Estatística'!$D$6/'Estatística'!$D$10</f>
        <v>35.00698037</v>
      </c>
      <c r="H621" s="23">
        <v>45042.0</v>
      </c>
      <c r="I621" s="24" t="str">
        <f t="shared" si="1"/>
        <v>abr.</v>
      </c>
      <c r="O621" s="8"/>
    </row>
    <row r="622" ht="15.75" customHeight="1">
      <c r="A622" s="9">
        <v>98.0</v>
      </c>
      <c r="B622" s="9" t="s">
        <v>159</v>
      </c>
      <c r="C622" s="9" t="s">
        <v>196</v>
      </c>
      <c r="D622" s="10" t="s">
        <v>30</v>
      </c>
      <c r="E622" s="11" t="s">
        <v>97</v>
      </c>
      <c r="F622" s="12">
        <v>3.35</v>
      </c>
      <c r="G622" s="12">
        <f>F622-'Estatística'!$D$6/'Estatística'!$D$10</f>
        <v>2.346980371</v>
      </c>
      <c r="H622" s="13">
        <v>45042.0</v>
      </c>
      <c r="I622" s="14" t="str">
        <f t="shared" si="1"/>
        <v>abr.</v>
      </c>
      <c r="O622" s="8"/>
    </row>
    <row r="623" ht="15.75" customHeight="1">
      <c r="A623" s="19">
        <v>21.0</v>
      </c>
      <c r="B623" s="19" t="s">
        <v>186</v>
      </c>
      <c r="C623" s="19" t="s">
        <v>187</v>
      </c>
      <c r="D623" s="20" t="s">
        <v>30</v>
      </c>
      <c r="E623" s="21" t="s">
        <v>91</v>
      </c>
      <c r="F623" s="22">
        <v>1.48</v>
      </c>
      <c r="G623" s="22">
        <f>F623-'Estatística'!$D$6/'Estatística'!$D$10</f>
        <v>0.4769803714</v>
      </c>
      <c r="H623" s="23">
        <v>45042.0</v>
      </c>
      <c r="I623" s="24" t="str">
        <f t="shared" si="1"/>
        <v>abr.</v>
      </c>
      <c r="O623" s="8"/>
    </row>
    <row r="624" ht="15.75" customHeight="1">
      <c r="A624" s="9">
        <v>37.0</v>
      </c>
      <c r="B624" s="9" t="s">
        <v>245</v>
      </c>
      <c r="C624" s="9" t="s">
        <v>246</v>
      </c>
      <c r="D624" s="10" t="s">
        <v>30</v>
      </c>
      <c r="E624" s="11" t="s">
        <v>82</v>
      </c>
      <c r="F624" s="12">
        <v>14.34</v>
      </c>
      <c r="G624" s="12">
        <f>F624-'Estatística'!$D$6/'Estatística'!$D$10</f>
        <v>13.33698037</v>
      </c>
      <c r="H624" s="13">
        <v>45042.0</v>
      </c>
      <c r="I624" s="14" t="str">
        <f t="shared" si="1"/>
        <v>abr.</v>
      </c>
      <c r="O624" s="8"/>
    </row>
    <row r="625" ht="15.75" customHeight="1">
      <c r="A625" s="19">
        <v>88.0</v>
      </c>
      <c r="B625" s="19" t="s">
        <v>200</v>
      </c>
      <c r="C625" s="19" t="s">
        <v>206</v>
      </c>
      <c r="D625" s="20" t="s">
        <v>11</v>
      </c>
      <c r="E625" s="21" t="s">
        <v>50</v>
      </c>
      <c r="F625" s="22">
        <v>23.62</v>
      </c>
      <c r="G625" s="22">
        <f>F625-'Estatística'!$D$6/'Estatística'!$D$10</f>
        <v>22.61698037</v>
      </c>
      <c r="H625" s="23">
        <v>45043.0</v>
      </c>
      <c r="I625" s="24" t="str">
        <f t="shared" si="1"/>
        <v>abr.</v>
      </c>
      <c r="O625" s="8"/>
    </row>
    <row r="626" ht="15.75" customHeight="1">
      <c r="A626" s="9">
        <v>79.0</v>
      </c>
      <c r="B626" s="9" t="s">
        <v>101</v>
      </c>
      <c r="C626" s="9" t="s">
        <v>102</v>
      </c>
      <c r="D626" s="10" t="s">
        <v>11</v>
      </c>
      <c r="E626" s="11" t="s">
        <v>68</v>
      </c>
      <c r="F626" s="12">
        <v>11.98</v>
      </c>
      <c r="G626" s="12">
        <f>F626-'Estatística'!$D$6/'Estatística'!$D$10</f>
        <v>10.97698037</v>
      </c>
      <c r="H626" s="13">
        <v>45043.0</v>
      </c>
      <c r="I626" s="14" t="str">
        <f t="shared" si="1"/>
        <v>abr.</v>
      </c>
      <c r="O626" s="8"/>
    </row>
    <row r="627" ht="15.75" customHeight="1">
      <c r="A627" s="19">
        <v>95.0</v>
      </c>
      <c r="B627" s="19" t="s">
        <v>110</v>
      </c>
      <c r="C627" s="19" t="s">
        <v>111</v>
      </c>
      <c r="D627" s="20" t="s">
        <v>11</v>
      </c>
      <c r="E627" s="21" t="s">
        <v>46</v>
      </c>
      <c r="F627" s="22">
        <v>13.47</v>
      </c>
      <c r="G627" s="22">
        <f>F627-'Estatística'!$D$6/'Estatística'!$D$10</f>
        <v>12.46698037</v>
      </c>
      <c r="H627" s="23">
        <v>45043.0</v>
      </c>
      <c r="I627" s="24" t="str">
        <f t="shared" si="1"/>
        <v>abr.</v>
      </c>
      <c r="O627" s="8"/>
    </row>
    <row r="628" ht="15.75" customHeight="1">
      <c r="A628" s="9">
        <v>78.0</v>
      </c>
      <c r="B628" s="9" t="s">
        <v>28</v>
      </c>
      <c r="C628" s="9" t="s">
        <v>29</v>
      </c>
      <c r="D628" s="10" t="s">
        <v>30</v>
      </c>
      <c r="E628" s="11" t="s">
        <v>91</v>
      </c>
      <c r="F628" s="12">
        <v>3.68</v>
      </c>
      <c r="G628" s="12">
        <f>F628-'Estatística'!$D$6/'Estatística'!$D$10</f>
        <v>2.676980371</v>
      </c>
      <c r="H628" s="13">
        <v>45043.0</v>
      </c>
      <c r="I628" s="14" t="str">
        <f t="shared" si="1"/>
        <v>abr.</v>
      </c>
      <c r="O628" s="8"/>
    </row>
    <row r="629" ht="15.75" customHeight="1">
      <c r="A629" s="19">
        <v>18.0</v>
      </c>
      <c r="B629" s="19" t="s">
        <v>163</v>
      </c>
      <c r="C629" s="19" t="s">
        <v>240</v>
      </c>
      <c r="D629" s="20" t="s">
        <v>11</v>
      </c>
      <c r="E629" s="21" t="s">
        <v>31</v>
      </c>
      <c r="F629" s="22">
        <v>53.56</v>
      </c>
      <c r="G629" s="22">
        <f>F629-'Estatística'!$D$6/'Estatística'!$D$10</f>
        <v>52.55698037</v>
      </c>
      <c r="H629" s="23">
        <v>45043.0</v>
      </c>
      <c r="I629" s="24" t="str">
        <f t="shared" si="1"/>
        <v>abr.</v>
      </c>
      <c r="O629" s="8"/>
    </row>
    <row r="630" ht="15.75" customHeight="1">
      <c r="A630" s="9">
        <v>72.0</v>
      </c>
      <c r="B630" s="9" t="s">
        <v>133</v>
      </c>
      <c r="C630" s="9" t="s">
        <v>134</v>
      </c>
      <c r="D630" s="10" t="s">
        <v>30</v>
      </c>
      <c r="E630" s="11" t="s">
        <v>46</v>
      </c>
      <c r="F630" s="12">
        <v>14.24</v>
      </c>
      <c r="G630" s="12">
        <f>F630-'Estatística'!$D$6/'Estatística'!$D$10</f>
        <v>13.23698037</v>
      </c>
      <c r="H630" s="13">
        <v>45043.0</v>
      </c>
      <c r="I630" s="14" t="str">
        <f t="shared" si="1"/>
        <v>abr.</v>
      </c>
      <c r="O630" s="8"/>
    </row>
    <row r="631" ht="15.75" customHeight="1">
      <c r="A631" s="19">
        <v>82.0</v>
      </c>
      <c r="B631" s="19" t="s">
        <v>231</v>
      </c>
      <c r="C631" s="19" t="s">
        <v>232</v>
      </c>
      <c r="D631" s="20" t="s">
        <v>11</v>
      </c>
      <c r="E631" s="21" t="s">
        <v>91</v>
      </c>
      <c r="F631" s="22">
        <v>4.11</v>
      </c>
      <c r="G631" s="22">
        <f>F631-'Estatística'!$D$6/'Estatística'!$D$10</f>
        <v>3.106980371</v>
      </c>
      <c r="H631" s="23">
        <v>45044.0</v>
      </c>
      <c r="I631" s="24" t="str">
        <f t="shared" si="1"/>
        <v>abr.</v>
      </c>
      <c r="O631" s="8"/>
    </row>
    <row r="632" ht="15.75" customHeight="1">
      <c r="A632" s="9">
        <v>72.0</v>
      </c>
      <c r="B632" s="9" t="s">
        <v>133</v>
      </c>
      <c r="C632" s="9" t="s">
        <v>134</v>
      </c>
      <c r="D632" s="10" t="s">
        <v>30</v>
      </c>
      <c r="E632" s="11" t="s">
        <v>91</v>
      </c>
      <c r="F632" s="12">
        <v>3.39</v>
      </c>
      <c r="G632" s="12">
        <f>F632-'Estatística'!$D$6/'Estatística'!$D$10</f>
        <v>2.386980371</v>
      </c>
      <c r="H632" s="13">
        <v>45044.0</v>
      </c>
      <c r="I632" s="14" t="str">
        <f t="shared" si="1"/>
        <v>abr.</v>
      </c>
      <c r="O632" s="8"/>
    </row>
    <row r="633" ht="15.75" customHeight="1">
      <c r="A633" s="19">
        <v>33.0</v>
      </c>
      <c r="B633" s="19" t="s">
        <v>191</v>
      </c>
      <c r="C633" s="19" t="s">
        <v>192</v>
      </c>
      <c r="D633" s="20" t="s">
        <v>11</v>
      </c>
      <c r="E633" s="21" t="s">
        <v>31</v>
      </c>
      <c r="F633" s="22">
        <v>47.91</v>
      </c>
      <c r="G633" s="22">
        <f>F633-'Estatística'!$D$6/'Estatística'!$D$10</f>
        <v>46.90698037</v>
      </c>
      <c r="H633" s="23">
        <v>45044.0</v>
      </c>
      <c r="I633" s="24" t="str">
        <f t="shared" si="1"/>
        <v>abr.</v>
      </c>
      <c r="O633" s="8"/>
    </row>
    <row r="634" ht="15.75" customHeight="1">
      <c r="A634" s="9">
        <v>63.0</v>
      </c>
      <c r="B634" s="9" t="s">
        <v>225</v>
      </c>
      <c r="C634" s="9" t="s">
        <v>226</v>
      </c>
      <c r="D634" s="10" t="s">
        <v>30</v>
      </c>
      <c r="E634" s="11" t="s">
        <v>79</v>
      </c>
      <c r="F634" s="12">
        <v>31.12</v>
      </c>
      <c r="G634" s="12">
        <f>F634-'Estatística'!$D$6/'Estatística'!$D$10</f>
        <v>30.11698037</v>
      </c>
      <c r="H634" s="13">
        <v>45044.0</v>
      </c>
      <c r="I634" s="14" t="str">
        <f t="shared" si="1"/>
        <v>abr.</v>
      </c>
      <c r="O634" s="8"/>
    </row>
    <row r="635" ht="15.75" customHeight="1">
      <c r="A635" s="19">
        <v>71.0</v>
      </c>
      <c r="B635" s="19" t="s">
        <v>150</v>
      </c>
      <c r="C635" s="19" t="s">
        <v>151</v>
      </c>
      <c r="D635" s="20" t="s">
        <v>11</v>
      </c>
      <c r="E635" s="21" t="s">
        <v>31</v>
      </c>
      <c r="F635" s="22">
        <v>41.61</v>
      </c>
      <c r="G635" s="22">
        <f>F635-'Estatística'!$D$6/'Estatística'!$D$10</f>
        <v>40.60698037</v>
      </c>
      <c r="H635" s="23">
        <v>45044.0</v>
      </c>
      <c r="I635" s="24" t="str">
        <f t="shared" si="1"/>
        <v>abr.</v>
      </c>
      <c r="O635" s="8"/>
    </row>
    <row r="636" ht="15.75" customHeight="1">
      <c r="A636" s="9">
        <v>57.0</v>
      </c>
      <c r="B636" s="9" t="s">
        <v>92</v>
      </c>
      <c r="C636" s="9" t="s">
        <v>190</v>
      </c>
      <c r="D636" s="10" t="s">
        <v>30</v>
      </c>
      <c r="E636" s="11" t="s">
        <v>79</v>
      </c>
      <c r="F636" s="12">
        <v>38.72</v>
      </c>
      <c r="G636" s="12">
        <f>F636-'Estatística'!$D$6/'Estatística'!$D$10</f>
        <v>37.71698037</v>
      </c>
      <c r="H636" s="13">
        <v>45044.0</v>
      </c>
      <c r="I636" s="14" t="str">
        <f t="shared" si="1"/>
        <v>abr.</v>
      </c>
      <c r="O636" s="8"/>
    </row>
    <row r="637" ht="15.75" customHeight="1">
      <c r="A637" s="19">
        <v>25.0</v>
      </c>
      <c r="B637" s="19" t="s">
        <v>154</v>
      </c>
      <c r="C637" s="19" t="s">
        <v>155</v>
      </c>
      <c r="D637" s="20" t="s">
        <v>30</v>
      </c>
      <c r="E637" s="21" t="s">
        <v>91</v>
      </c>
      <c r="F637" s="22">
        <v>4.27</v>
      </c>
      <c r="G637" s="22">
        <f>F637-'Estatística'!$D$6/'Estatística'!$D$10</f>
        <v>3.266980371</v>
      </c>
      <c r="H637" s="23">
        <v>45044.0</v>
      </c>
      <c r="I637" s="24" t="str">
        <f t="shared" si="1"/>
        <v>abr.</v>
      </c>
      <c r="O637" s="8"/>
    </row>
    <row r="638" ht="15.75" customHeight="1">
      <c r="A638" s="9">
        <v>53.0</v>
      </c>
      <c r="B638" s="9" t="s">
        <v>241</v>
      </c>
      <c r="C638" s="9" t="s">
        <v>242</v>
      </c>
      <c r="D638" s="10" t="s">
        <v>30</v>
      </c>
      <c r="E638" s="11" t="s">
        <v>97</v>
      </c>
      <c r="F638" s="12">
        <v>3.23</v>
      </c>
      <c r="G638" s="12">
        <f>F638-'Estatística'!$D$6/'Estatística'!$D$10</f>
        <v>2.226980371</v>
      </c>
      <c r="H638" s="13">
        <v>45044.0</v>
      </c>
      <c r="I638" s="14" t="str">
        <f t="shared" si="1"/>
        <v>abr.</v>
      </c>
      <c r="O638" s="8"/>
    </row>
    <row r="639" ht="15.75" customHeight="1">
      <c r="A639" s="19">
        <v>76.0</v>
      </c>
      <c r="B639" s="19" t="s">
        <v>213</v>
      </c>
      <c r="C639" s="19" t="s">
        <v>214</v>
      </c>
      <c r="D639" s="20" t="s">
        <v>30</v>
      </c>
      <c r="E639" s="21" t="s">
        <v>82</v>
      </c>
      <c r="F639" s="22">
        <v>11.96</v>
      </c>
      <c r="G639" s="22">
        <f>F639-'Estatística'!$D$6/'Estatística'!$D$10</f>
        <v>10.95698037</v>
      </c>
      <c r="H639" s="23">
        <v>45044.0</v>
      </c>
      <c r="I639" s="24" t="str">
        <f t="shared" si="1"/>
        <v>abr.</v>
      </c>
      <c r="O639" s="8"/>
    </row>
    <row r="640" ht="15.75" customHeight="1">
      <c r="A640" s="9">
        <v>45.0</v>
      </c>
      <c r="B640" s="9" t="s">
        <v>221</v>
      </c>
      <c r="C640" s="9" t="s">
        <v>222</v>
      </c>
      <c r="D640" s="10" t="s">
        <v>11</v>
      </c>
      <c r="E640" s="11" t="s">
        <v>46</v>
      </c>
      <c r="F640" s="12">
        <v>14.53</v>
      </c>
      <c r="G640" s="12">
        <f>F640-'Estatística'!$D$6/'Estatística'!$D$10</f>
        <v>13.52698037</v>
      </c>
      <c r="H640" s="13">
        <v>45044.0</v>
      </c>
      <c r="I640" s="14" t="str">
        <f t="shared" si="1"/>
        <v>abr.</v>
      </c>
      <c r="O640" s="8"/>
    </row>
    <row r="641" ht="15.75" customHeight="1">
      <c r="A641" s="19">
        <v>45.0</v>
      </c>
      <c r="B641" s="19" t="s">
        <v>221</v>
      </c>
      <c r="C641" s="19" t="s">
        <v>222</v>
      </c>
      <c r="D641" s="20" t="s">
        <v>11</v>
      </c>
      <c r="E641" s="21" t="s">
        <v>68</v>
      </c>
      <c r="F641" s="22">
        <v>12.04</v>
      </c>
      <c r="G641" s="22">
        <f>F641-'Estatística'!$D$6/'Estatística'!$D$10</f>
        <v>11.03698037</v>
      </c>
      <c r="H641" s="23">
        <v>45044.0</v>
      </c>
      <c r="I641" s="24" t="str">
        <f t="shared" si="1"/>
        <v>abr.</v>
      </c>
      <c r="O641" s="8"/>
    </row>
    <row r="642" ht="15.75" customHeight="1">
      <c r="A642" s="9">
        <v>73.0</v>
      </c>
      <c r="B642" s="9" t="s">
        <v>223</v>
      </c>
      <c r="C642" s="9" t="s">
        <v>224</v>
      </c>
      <c r="D642" s="10" t="s">
        <v>30</v>
      </c>
      <c r="E642" s="11" t="s">
        <v>52</v>
      </c>
      <c r="F642" s="12">
        <v>59.17</v>
      </c>
      <c r="G642" s="12">
        <f>F642-'Estatística'!$D$6/'Estatística'!$D$10</f>
        <v>58.16698037</v>
      </c>
      <c r="H642" s="13">
        <v>45044.0</v>
      </c>
      <c r="I642" s="14" t="str">
        <f t="shared" si="1"/>
        <v>abr.</v>
      </c>
      <c r="O642" s="8"/>
    </row>
    <row r="643" ht="15.75" customHeight="1">
      <c r="A643" s="19">
        <v>44.0</v>
      </c>
      <c r="B643" s="19" t="s">
        <v>215</v>
      </c>
      <c r="C643" s="19" t="s">
        <v>216</v>
      </c>
      <c r="D643" s="20" t="s">
        <v>30</v>
      </c>
      <c r="E643" s="21" t="s">
        <v>31</v>
      </c>
      <c r="F643" s="22">
        <v>37.67</v>
      </c>
      <c r="G643" s="22">
        <f>F643-'Estatística'!$D$6/'Estatística'!$D$10</f>
        <v>36.66698037</v>
      </c>
      <c r="H643" s="23">
        <v>45047.0</v>
      </c>
      <c r="I643" s="24" t="str">
        <f t="shared" si="1"/>
        <v>mai.</v>
      </c>
      <c r="O643" s="8"/>
    </row>
    <row r="644" ht="15.75" customHeight="1">
      <c r="A644" s="9">
        <v>86.0</v>
      </c>
      <c r="B644" s="9" t="s">
        <v>62</v>
      </c>
      <c r="C644" s="9" t="s">
        <v>63</v>
      </c>
      <c r="D644" s="10" t="s">
        <v>30</v>
      </c>
      <c r="E644" s="11" t="s">
        <v>72</v>
      </c>
      <c r="F644" s="12">
        <v>19.03</v>
      </c>
      <c r="G644" s="12">
        <f>F644-'Estatística'!$D$6/'Estatística'!$D$10</f>
        <v>18.02698037</v>
      </c>
      <c r="H644" s="13">
        <v>45047.0</v>
      </c>
      <c r="I644" s="14" t="str">
        <f t="shared" si="1"/>
        <v>mai.</v>
      </c>
      <c r="O644" s="8"/>
    </row>
    <row r="645" ht="15.75" customHeight="1">
      <c r="A645" s="19">
        <v>90.0</v>
      </c>
      <c r="B645" s="19" t="s">
        <v>219</v>
      </c>
      <c r="C645" s="19" t="s">
        <v>220</v>
      </c>
      <c r="D645" s="20" t="s">
        <v>30</v>
      </c>
      <c r="E645" s="21" t="s">
        <v>52</v>
      </c>
      <c r="F645" s="22">
        <v>68.36</v>
      </c>
      <c r="G645" s="22">
        <f>F645-'Estatística'!$D$6/'Estatística'!$D$10</f>
        <v>67.35698037</v>
      </c>
      <c r="H645" s="23">
        <v>45047.0</v>
      </c>
      <c r="I645" s="24" t="str">
        <f t="shared" si="1"/>
        <v>mai.</v>
      </c>
      <c r="O645" s="8"/>
    </row>
    <row r="646" ht="15.75" customHeight="1">
      <c r="A646" s="9">
        <v>62.0</v>
      </c>
      <c r="B646" s="9" t="s">
        <v>156</v>
      </c>
      <c r="C646" s="9" t="s">
        <v>157</v>
      </c>
      <c r="D646" s="10" t="s">
        <v>11</v>
      </c>
      <c r="E646" s="11" t="s">
        <v>31</v>
      </c>
      <c r="F646" s="12">
        <v>52.0</v>
      </c>
      <c r="G646" s="12">
        <f>F646-'Estatística'!$D$6/'Estatística'!$D$10</f>
        <v>50.99698037</v>
      </c>
      <c r="H646" s="13">
        <v>45048.0</v>
      </c>
      <c r="I646" s="14" t="str">
        <f t="shared" si="1"/>
        <v>mai.</v>
      </c>
      <c r="O646" s="8"/>
    </row>
    <row r="647" ht="15.75" customHeight="1">
      <c r="A647" s="19">
        <v>88.0</v>
      </c>
      <c r="B647" s="19" t="s">
        <v>200</v>
      </c>
      <c r="C647" s="19" t="s">
        <v>206</v>
      </c>
      <c r="D647" s="20" t="s">
        <v>30</v>
      </c>
      <c r="E647" s="21" t="s">
        <v>35</v>
      </c>
      <c r="F647" s="22">
        <v>11.68</v>
      </c>
      <c r="G647" s="22">
        <f>F647-'Estatística'!$D$6/'Estatística'!$D$10</f>
        <v>10.67698037</v>
      </c>
      <c r="H647" s="23">
        <v>45048.0</v>
      </c>
      <c r="I647" s="24" t="str">
        <f t="shared" si="1"/>
        <v>mai.</v>
      </c>
      <c r="O647" s="8"/>
    </row>
    <row r="648" ht="15.75" customHeight="1">
      <c r="A648" s="9">
        <v>65.0</v>
      </c>
      <c r="B648" s="9" t="s">
        <v>209</v>
      </c>
      <c r="C648" s="9" t="s">
        <v>210</v>
      </c>
      <c r="D648" s="10" t="s">
        <v>11</v>
      </c>
      <c r="E648" s="11" t="s">
        <v>82</v>
      </c>
      <c r="F648" s="12">
        <v>13.4</v>
      </c>
      <c r="G648" s="12">
        <f>F648-'Estatística'!$D$6/'Estatística'!$D$10</f>
        <v>12.39698037</v>
      </c>
      <c r="H648" s="13">
        <v>45048.0</v>
      </c>
      <c r="I648" s="14" t="str">
        <f t="shared" si="1"/>
        <v>mai.</v>
      </c>
      <c r="O648" s="8"/>
    </row>
    <row r="649" ht="15.75" customHeight="1">
      <c r="A649" s="19">
        <v>62.0</v>
      </c>
      <c r="B649" s="19" t="s">
        <v>156</v>
      </c>
      <c r="C649" s="19" t="s">
        <v>157</v>
      </c>
      <c r="D649" s="20" t="s">
        <v>30</v>
      </c>
      <c r="E649" s="21" t="s">
        <v>50</v>
      </c>
      <c r="F649" s="22">
        <v>25.62</v>
      </c>
      <c r="G649" s="22">
        <f>F649-'Estatística'!$D$6/'Estatística'!$D$10</f>
        <v>24.61698037</v>
      </c>
      <c r="H649" s="23">
        <v>45049.0</v>
      </c>
      <c r="I649" s="24" t="str">
        <f t="shared" si="1"/>
        <v>mai.</v>
      </c>
      <c r="O649" s="8"/>
    </row>
    <row r="650" ht="15.75" customHeight="1">
      <c r="A650" s="9">
        <v>87.0</v>
      </c>
      <c r="B650" s="9" t="s">
        <v>243</v>
      </c>
      <c r="C650" s="9" t="s">
        <v>244</v>
      </c>
      <c r="D650" s="10" t="s">
        <v>11</v>
      </c>
      <c r="E650" s="11" t="s">
        <v>88</v>
      </c>
      <c r="F650" s="12">
        <v>41.45</v>
      </c>
      <c r="G650" s="12">
        <f>F650-'Estatística'!$D$6/'Estatística'!$D$10</f>
        <v>40.44698037</v>
      </c>
      <c r="H650" s="13">
        <v>45049.0</v>
      </c>
      <c r="I650" s="14" t="str">
        <f t="shared" si="1"/>
        <v>mai.</v>
      </c>
      <c r="O650" s="8"/>
    </row>
    <row r="651" ht="15.75" customHeight="1">
      <c r="A651" s="19">
        <v>37.0</v>
      </c>
      <c r="B651" s="19" t="s">
        <v>245</v>
      </c>
      <c r="C651" s="19" t="s">
        <v>246</v>
      </c>
      <c r="D651" s="20" t="s">
        <v>11</v>
      </c>
      <c r="E651" s="21" t="s">
        <v>31</v>
      </c>
      <c r="F651" s="22">
        <v>47.66</v>
      </c>
      <c r="G651" s="22">
        <f>F651-'Estatística'!$D$6/'Estatística'!$D$10</f>
        <v>46.65698037</v>
      </c>
      <c r="H651" s="23">
        <v>45049.0</v>
      </c>
      <c r="I651" s="24" t="str">
        <f t="shared" si="1"/>
        <v>mai.</v>
      </c>
      <c r="O651" s="8"/>
    </row>
    <row r="652" ht="15.75" customHeight="1">
      <c r="A652" s="9">
        <v>22.0</v>
      </c>
      <c r="B652" s="9" t="s">
        <v>131</v>
      </c>
      <c r="C652" s="9" t="s">
        <v>132</v>
      </c>
      <c r="D652" s="10" t="s">
        <v>11</v>
      </c>
      <c r="E652" s="11" t="s">
        <v>46</v>
      </c>
      <c r="F652" s="12">
        <v>12.92</v>
      </c>
      <c r="G652" s="12">
        <f>F652-'Estatística'!$D$6/'Estatística'!$D$10</f>
        <v>11.91698037</v>
      </c>
      <c r="H652" s="13">
        <v>45049.0</v>
      </c>
      <c r="I652" s="14" t="str">
        <f t="shared" si="1"/>
        <v>mai.</v>
      </c>
      <c r="O652" s="8"/>
    </row>
    <row r="653" ht="15.75" customHeight="1">
      <c r="A653" s="19">
        <v>31.0</v>
      </c>
      <c r="B653" s="19" t="s">
        <v>229</v>
      </c>
      <c r="C653" s="19" t="s">
        <v>230</v>
      </c>
      <c r="D653" s="20" t="s">
        <v>11</v>
      </c>
      <c r="E653" s="21" t="s">
        <v>72</v>
      </c>
      <c r="F653" s="22">
        <v>19.18</v>
      </c>
      <c r="G653" s="22">
        <f>F653-'Estatística'!$D$6/'Estatística'!$D$10</f>
        <v>18.17698037</v>
      </c>
      <c r="H653" s="23">
        <v>45049.0</v>
      </c>
      <c r="I653" s="24" t="str">
        <f t="shared" si="1"/>
        <v>mai.</v>
      </c>
      <c r="O653" s="8"/>
    </row>
    <row r="654" ht="15.75" customHeight="1">
      <c r="A654" s="9">
        <v>73.0</v>
      </c>
      <c r="B654" s="9" t="s">
        <v>223</v>
      </c>
      <c r="C654" s="9" t="s">
        <v>224</v>
      </c>
      <c r="D654" s="10" t="s">
        <v>11</v>
      </c>
      <c r="E654" s="11" t="s">
        <v>68</v>
      </c>
      <c r="F654" s="12">
        <v>12.72</v>
      </c>
      <c r="G654" s="12">
        <f>F654-'Estatística'!$D$6/'Estatística'!$D$10</f>
        <v>11.71698037</v>
      </c>
      <c r="H654" s="13">
        <v>45049.0</v>
      </c>
      <c r="I654" s="14" t="str">
        <f t="shared" si="1"/>
        <v>mai.</v>
      </c>
      <c r="O654" s="8"/>
    </row>
    <row r="655" ht="15.75" customHeight="1">
      <c r="A655" s="19">
        <v>12.0</v>
      </c>
      <c r="B655" s="19" t="s">
        <v>188</v>
      </c>
      <c r="C655" s="19" t="s">
        <v>189</v>
      </c>
      <c r="D655" s="20" t="s">
        <v>11</v>
      </c>
      <c r="E655" s="21" t="s">
        <v>82</v>
      </c>
      <c r="F655" s="22">
        <v>11.26</v>
      </c>
      <c r="G655" s="22">
        <f>F655-'Estatística'!$D$6/'Estatística'!$D$10</f>
        <v>10.25698037</v>
      </c>
      <c r="H655" s="23">
        <v>45049.0</v>
      </c>
      <c r="I655" s="24" t="str">
        <f t="shared" si="1"/>
        <v>mai.</v>
      </c>
      <c r="O655" s="8"/>
    </row>
    <row r="656" ht="15.75" customHeight="1">
      <c r="A656" s="9">
        <v>46.0</v>
      </c>
      <c r="B656" s="9" t="s">
        <v>143</v>
      </c>
      <c r="C656" s="9" t="s">
        <v>144</v>
      </c>
      <c r="D656" s="10" t="s">
        <v>30</v>
      </c>
      <c r="E656" s="11" t="s">
        <v>39</v>
      </c>
      <c r="F656" s="12">
        <v>18.33</v>
      </c>
      <c r="G656" s="12">
        <f>F656-'Estatística'!$D$6/'Estatística'!$D$10</f>
        <v>17.32698037</v>
      </c>
      <c r="H656" s="13">
        <v>45049.0</v>
      </c>
      <c r="I656" s="14" t="str">
        <f t="shared" si="1"/>
        <v>mai.</v>
      </c>
      <c r="O656" s="8"/>
    </row>
    <row r="657" ht="15.75" customHeight="1">
      <c r="A657" s="19">
        <v>46.0</v>
      </c>
      <c r="B657" s="19" t="s">
        <v>143</v>
      </c>
      <c r="C657" s="19" t="s">
        <v>144</v>
      </c>
      <c r="D657" s="20" t="s">
        <v>30</v>
      </c>
      <c r="E657" s="21" t="s">
        <v>72</v>
      </c>
      <c r="F657" s="22">
        <v>15.16</v>
      </c>
      <c r="G657" s="22">
        <f>F657-'Estatística'!$D$6/'Estatística'!$D$10</f>
        <v>14.15698037</v>
      </c>
      <c r="H657" s="23">
        <v>45049.0</v>
      </c>
      <c r="I657" s="24" t="str">
        <f t="shared" si="1"/>
        <v>mai.</v>
      </c>
      <c r="O657" s="8"/>
    </row>
    <row r="658" ht="15.75" customHeight="1">
      <c r="A658" s="9">
        <v>43.0</v>
      </c>
      <c r="B658" s="9" t="s">
        <v>95</v>
      </c>
      <c r="C658" s="9" t="s">
        <v>96</v>
      </c>
      <c r="D658" s="10" t="s">
        <v>30</v>
      </c>
      <c r="E658" s="11" t="s">
        <v>43</v>
      </c>
      <c r="F658" s="12">
        <v>13.76</v>
      </c>
      <c r="G658" s="12">
        <f>F658-'Estatística'!$D$6/'Estatística'!$D$10</f>
        <v>12.75698037</v>
      </c>
      <c r="H658" s="13">
        <v>45049.0</v>
      </c>
      <c r="I658" s="14" t="str">
        <f t="shared" si="1"/>
        <v>mai.</v>
      </c>
      <c r="O658" s="8"/>
    </row>
    <row r="659" ht="15.75" customHeight="1">
      <c r="A659" s="19">
        <v>84.0</v>
      </c>
      <c r="B659" s="19" t="s">
        <v>141</v>
      </c>
      <c r="C659" s="19" t="s">
        <v>142</v>
      </c>
      <c r="D659" s="20" t="s">
        <v>11</v>
      </c>
      <c r="E659" s="21" t="s">
        <v>52</v>
      </c>
      <c r="F659" s="22">
        <v>62.29</v>
      </c>
      <c r="G659" s="22">
        <f>F659-'Estatística'!$D$6/'Estatística'!$D$10</f>
        <v>61.28698037</v>
      </c>
      <c r="H659" s="23">
        <v>45049.0</v>
      </c>
      <c r="I659" s="24" t="str">
        <f t="shared" si="1"/>
        <v>mai.</v>
      </c>
      <c r="O659" s="8"/>
    </row>
    <row r="660" ht="15.75" customHeight="1">
      <c r="A660" s="9">
        <v>89.0</v>
      </c>
      <c r="B660" s="9" t="s">
        <v>135</v>
      </c>
      <c r="C660" s="9" t="s">
        <v>136</v>
      </c>
      <c r="D660" s="10" t="s">
        <v>30</v>
      </c>
      <c r="E660" s="11" t="s">
        <v>76</v>
      </c>
      <c r="F660" s="12">
        <v>11.77</v>
      </c>
      <c r="G660" s="12">
        <f>F660-'Estatística'!$D$6/'Estatística'!$D$10</f>
        <v>10.76698037</v>
      </c>
      <c r="H660" s="13">
        <v>45050.0</v>
      </c>
      <c r="I660" s="14" t="str">
        <f t="shared" si="1"/>
        <v>mai.</v>
      </c>
      <c r="O660" s="8"/>
    </row>
    <row r="661" ht="15.75" customHeight="1">
      <c r="A661" s="19">
        <v>80.0</v>
      </c>
      <c r="B661" s="19" t="s">
        <v>37</v>
      </c>
      <c r="C661" s="19" t="s">
        <v>38</v>
      </c>
      <c r="D661" s="20" t="s">
        <v>11</v>
      </c>
      <c r="E661" s="21" t="s">
        <v>72</v>
      </c>
      <c r="F661" s="22">
        <v>21.96</v>
      </c>
      <c r="G661" s="22">
        <f>F661-'Estatística'!$D$6/'Estatística'!$D$10</f>
        <v>20.95698037</v>
      </c>
      <c r="H661" s="23">
        <v>45050.0</v>
      </c>
      <c r="I661" s="24" t="str">
        <f t="shared" si="1"/>
        <v>mai.</v>
      </c>
      <c r="O661" s="8"/>
    </row>
    <row r="662" ht="15.75" customHeight="1">
      <c r="A662" s="9">
        <v>9.0</v>
      </c>
      <c r="B662" s="9" t="s">
        <v>207</v>
      </c>
      <c r="C662" s="9" t="s">
        <v>208</v>
      </c>
      <c r="D662" s="10" t="s">
        <v>11</v>
      </c>
      <c r="E662" s="11" t="s">
        <v>79</v>
      </c>
      <c r="F662" s="12">
        <v>35.6</v>
      </c>
      <c r="G662" s="12">
        <f>F662-'Estatística'!$D$6/'Estatística'!$D$10</f>
        <v>34.59698037</v>
      </c>
      <c r="H662" s="13">
        <v>45050.0</v>
      </c>
      <c r="I662" s="14" t="str">
        <f t="shared" si="1"/>
        <v>mai.</v>
      </c>
      <c r="O662" s="8"/>
    </row>
    <row r="663" ht="15.75" customHeight="1">
      <c r="A663" s="19">
        <v>7.0</v>
      </c>
      <c r="B663" s="19" t="s">
        <v>114</v>
      </c>
      <c r="C663" s="19" t="s">
        <v>115</v>
      </c>
      <c r="D663" s="20" t="s">
        <v>30</v>
      </c>
      <c r="E663" s="21" t="s">
        <v>94</v>
      </c>
      <c r="F663" s="22">
        <v>32.17</v>
      </c>
      <c r="G663" s="22">
        <f>F663-'Estatística'!$D$6/'Estatística'!$D$10</f>
        <v>31.16698037</v>
      </c>
      <c r="H663" s="23">
        <v>45050.0</v>
      </c>
      <c r="I663" s="24" t="str">
        <f t="shared" si="1"/>
        <v>mai.</v>
      </c>
      <c r="O663" s="8"/>
    </row>
    <row r="664" ht="15.75" customHeight="1">
      <c r="A664" s="9">
        <v>82.0</v>
      </c>
      <c r="B664" s="9" t="s">
        <v>231</v>
      </c>
      <c r="C664" s="9" t="s">
        <v>232</v>
      </c>
      <c r="D664" s="10" t="s">
        <v>11</v>
      </c>
      <c r="E664" s="11" t="s">
        <v>68</v>
      </c>
      <c r="F664" s="12">
        <v>19.38</v>
      </c>
      <c r="G664" s="12">
        <f>F664-'Estatística'!$D$6/'Estatística'!$D$10</f>
        <v>18.37698037</v>
      </c>
      <c r="H664" s="13">
        <v>45050.0</v>
      </c>
      <c r="I664" s="14" t="str">
        <f t="shared" si="1"/>
        <v>mai.</v>
      </c>
      <c r="O664" s="8"/>
    </row>
    <row r="665" ht="15.75" customHeight="1">
      <c r="A665" s="19">
        <v>54.0</v>
      </c>
      <c r="B665" s="19" t="s">
        <v>86</v>
      </c>
      <c r="C665" s="19" t="s">
        <v>87</v>
      </c>
      <c r="D665" s="20" t="s">
        <v>11</v>
      </c>
      <c r="E665" s="21" t="s">
        <v>52</v>
      </c>
      <c r="F665" s="22">
        <v>46.9</v>
      </c>
      <c r="G665" s="22">
        <f>F665-'Estatística'!$D$6/'Estatística'!$D$10</f>
        <v>45.89698037</v>
      </c>
      <c r="H665" s="23">
        <v>45051.0</v>
      </c>
      <c r="I665" s="24" t="str">
        <f t="shared" si="1"/>
        <v>mai.</v>
      </c>
      <c r="O665" s="8"/>
    </row>
    <row r="666" ht="15.75" customHeight="1">
      <c r="A666" s="9">
        <v>28.0</v>
      </c>
      <c r="B666" s="9" t="s">
        <v>77</v>
      </c>
      <c r="C666" s="9" t="s">
        <v>78</v>
      </c>
      <c r="D666" s="10" t="s">
        <v>30</v>
      </c>
      <c r="E666" s="11" t="s">
        <v>12</v>
      </c>
      <c r="F666" s="12">
        <v>10.35</v>
      </c>
      <c r="G666" s="12">
        <f>F666-'Estatística'!$D$6/'Estatística'!$D$10</f>
        <v>9.346980371</v>
      </c>
      <c r="H666" s="13">
        <v>45051.0</v>
      </c>
      <c r="I666" s="14" t="str">
        <f t="shared" si="1"/>
        <v>mai.</v>
      </c>
      <c r="O666" s="8"/>
    </row>
    <row r="667" ht="15.75" customHeight="1">
      <c r="A667" s="19">
        <v>65.0</v>
      </c>
      <c r="B667" s="19" t="s">
        <v>209</v>
      </c>
      <c r="C667" s="19" t="s">
        <v>210</v>
      </c>
      <c r="D667" s="20" t="s">
        <v>11</v>
      </c>
      <c r="E667" s="21" t="s">
        <v>85</v>
      </c>
      <c r="F667" s="22">
        <v>15.73</v>
      </c>
      <c r="G667" s="22">
        <f>F667-'Estatística'!$D$6/'Estatística'!$D$10</f>
        <v>14.72698037</v>
      </c>
      <c r="H667" s="23">
        <v>45051.0</v>
      </c>
      <c r="I667" s="24" t="str">
        <f t="shared" si="1"/>
        <v>mai.</v>
      </c>
      <c r="O667" s="8"/>
    </row>
    <row r="668" ht="15.75" customHeight="1">
      <c r="A668" s="9">
        <v>78.0</v>
      </c>
      <c r="B668" s="9" t="s">
        <v>28</v>
      </c>
      <c r="C668" s="9" t="s">
        <v>29</v>
      </c>
      <c r="D668" s="10" t="s">
        <v>30</v>
      </c>
      <c r="E668" s="11" t="s">
        <v>68</v>
      </c>
      <c r="F668" s="12">
        <v>17.29</v>
      </c>
      <c r="G668" s="12">
        <f>F668-'Estatística'!$D$6/'Estatística'!$D$10</f>
        <v>16.28698037</v>
      </c>
      <c r="H668" s="13">
        <v>45051.0</v>
      </c>
      <c r="I668" s="14" t="str">
        <f t="shared" si="1"/>
        <v>mai.</v>
      </c>
      <c r="O668" s="8"/>
    </row>
    <row r="669" ht="15.75" customHeight="1">
      <c r="A669" s="19">
        <v>45.0</v>
      </c>
      <c r="B669" s="19" t="s">
        <v>221</v>
      </c>
      <c r="C669" s="19" t="s">
        <v>222</v>
      </c>
      <c r="D669" s="20" t="s">
        <v>30</v>
      </c>
      <c r="E669" s="21" t="s">
        <v>68</v>
      </c>
      <c r="F669" s="22">
        <v>14.45</v>
      </c>
      <c r="G669" s="22">
        <f>F669-'Estatística'!$D$6/'Estatística'!$D$10</f>
        <v>13.44698037</v>
      </c>
      <c r="H669" s="23">
        <v>45051.0</v>
      </c>
      <c r="I669" s="24" t="str">
        <f t="shared" si="1"/>
        <v>mai.</v>
      </c>
      <c r="O669" s="8"/>
    </row>
    <row r="670" ht="15.75" customHeight="1">
      <c r="A670" s="9">
        <v>95.0</v>
      </c>
      <c r="B670" s="9" t="s">
        <v>110</v>
      </c>
      <c r="C670" s="9" t="s">
        <v>111</v>
      </c>
      <c r="D670" s="10" t="s">
        <v>11</v>
      </c>
      <c r="E670" s="11" t="s">
        <v>91</v>
      </c>
      <c r="F670" s="12">
        <v>3.75</v>
      </c>
      <c r="G670" s="12">
        <f>F670-'Estatística'!$D$6/'Estatística'!$D$10</f>
        <v>2.746980371</v>
      </c>
      <c r="H670" s="13">
        <v>45051.0</v>
      </c>
      <c r="I670" s="14" t="str">
        <f t="shared" si="1"/>
        <v>mai.</v>
      </c>
      <c r="O670" s="8"/>
    </row>
    <row r="671" ht="15.75" customHeight="1">
      <c r="A671" s="19">
        <v>67.0</v>
      </c>
      <c r="B671" s="19" t="s">
        <v>204</v>
      </c>
      <c r="C671" s="19" t="s">
        <v>205</v>
      </c>
      <c r="D671" s="20" t="s">
        <v>11</v>
      </c>
      <c r="E671" s="21" t="s">
        <v>31</v>
      </c>
      <c r="F671" s="22">
        <v>39.37</v>
      </c>
      <c r="G671" s="22">
        <f>F671-'Estatística'!$D$6/'Estatística'!$D$10</f>
        <v>38.36698037</v>
      </c>
      <c r="H671" s="23">
        <v>45051.0</v>
      </c>
      <c r="I671" s="24" t="str">
        <f t="shared" si="1"/>
        <v>mai.</v>
      </c>
      <c r="O671" s="8"/>
    </row>
    <row r="672" ht="15.75" customHeight="1">
      <c r="A672" s="9">
        <v>33.0</v>
      </c>
      <c r="B672" s="9" t="s">
        <v>191</v>
      </c>
      <c r="C672" s="9" t="s">
        <v>192</v>
      </c>
      <c r="D672" s="10" t="s">
        <v>30</v>
      </c>
      <c r="E672" s="11" t="s">
        <v>46</v>
      </c>
      <c r="F672" s="12">
        <v>14.08</v>
      </c>
      <c r="G672" s="12">
        <f>F672-'Estatística'!$D$6/'Estatística'!$D$10</f>
        <v>13.07698037</v>
      </c>
      <c r="H672" s="13">
        <v>45051.0</v>
      </c>
      <c r="I672" s="14" t="str">
        <f t="shared" si="1"/>
        <v>mai.</v>
      </c>
      <c r="O672" s="8"/>
    </row>
    <row r="673" ht="15.75" customHeight="1">
      <c r="A673" s="19">
        <v>28.0</v>
      </c>
      <c r="B673" s="19" t="s">
        <v>77</v>
      </c>
      <c r="C673" s="19" t="s">
        <v>78</v>
      </c>
      <c r="D673" s="20" t="s">
        <v>11</v>
      </c>
      <c r="E673" s="21" t="s">
        <v>60</v>
      </c>
      <c r="F673" s="22">
        <v>58.19</v>
      </c>
      <c r="G673" s="22">
        <f>F673-'Estatística'!$D$6/'Estatística'!$D$10</f>
        <v>57.18698037</v>
      </c>
      <c r="H673" s="23">
        <v>45052.0</v>
      </c>
      <c r="I673" s="24" t="str">
        <f t="shared" si="1"/>
        <v>mai.</v>
      </c>
      <c r="O673" s="8"/>
    </row>
    <row r="674" ht="15.75" customHeight="1">
      <c r="A674" s="9">
        <v>41.0</v>
      </c>
      <c r="B674" s="9" t="s">
        <v>217</v>
      </c>
      <c r="C674" s="9" t="s">
        <v>218</v>
      </c>
      <c r="D674" s="10" t="s">
        <v>30</v>
      </c>
      <c r="E674" s="11" t="s">
        <v>68</v>
      </c>
      <c r="F674" s="12">
        <v>8.16</v>
      </c>
      <c r="G674" s="12">
        <f>F674-'Estatística'!$D$6/'Estatística'!$D$10</f>
        <v>7.156980371</v>
      </c>
      <c r="H674" s="13">
        <v>45052.0</v>
      </c>
      <c r="I674" s="14" t="str">
        <f t="shared" si="1"/>
        <v>mai.</v>
      </c>
      <c r="O674" s="8"/>
    </row>
    <row r="675" ht="15.75" customHeight="1">
      <c r="A675" s="19">
        <v>69.0</v>
      </c>
      <c r="B675" s="19" t="s">
        <v>108</v>
      </c>
      <c r="C675" s="19" t="s">
        <v>145</v>
      </c>
      <c r="D675" s="20" t="s">
        <v>30</v>
      </c>
      <c r="E675" s="21" t="s">
        <v>50</v>
      </c>
      <c r="F675" s="22">
        <v>32.12</v>
      </c>
      <c r="G675" s="22">
        <f>F675-'Estatística'!$D$6/'Estatística'!$D$10</f>
        <v>31.11698037</v>
      </c>
      <c r="H675" s="23">
        <v>45052.0</v>
      </c>
      <c r="I675" s="24" t="str">
        <f t="shared" si="1"/>
        <v>mai.</v>
      </c>
      <c r="O675" s="8"/>
    </row>
    <row r="676" ht="15.75" customHeight="1">
      <c r="A676" s="9">
        <v>73.0</v>
      </c>
      <c r="B676" s="9" t="s">
        <v>223</v>
      </c>
      <c r="C676" s="9" t="s">
        <v>224</v>
      </c>
      <c r="D676" s="10" t="s">
        <v>30</v>
      </c>
      <c r="E676" s="11" t="s">
        <v>56</v>
      </c>
      <c r="F676" s="12">
        <v>59.4</v>
      </c>
      <c r="G676" s="12">
        <f>F676-'Estatística'!$D$6/'Estatística'!$D$10</f>
        <v>58.39698037</v>
      </c>
      <c r="H676" s="13">
        <v>45052.0</v>
      </c>
      <c r="I676" s="14" t="str">
        <f t="shared" si="1"/>
        <v>mai.</v>
      </c>
      <c r="O676" s="8"/>
    </row>
    <row r="677" ht="15.75" customHeight="1">
      <c r="A677" s="19">
        <v>57.0</v>
      </c>
      <c r="B677" s="19" t="s">
        <v>92</v>
      </c>
      <c r="C677" s="19" t="s">
        <v>190</v>
      </c>
      <c r="D677" s="20" t="s">
        <v>30</v>
      </c>
      <c r="E677" s="21" t="s">
        <v>12</v>
      </c>
      <c r="F677" s="22">
        <v>10.55</v>
      </c>
      <c r="G677" s="22">
        <f>F677-'Estatística'!$D$6/'Estatística'!$D$10</f>
        <v>9.546980371</v>
      </c>
      <c r="H677" s="23">
        <v>45052.0</v>
      </c>
      <c r="I677" s="24" t="str">
        <f t="shared" si="1"/>
        <v>mai.</v>
      </c>
      <c r="O677" s="8"/>
    </row>
    <row r="678" ht="15.75" customHeight="1">
      <c r="A678" s="9">
        <v>65.0</v>
      </c>
      <c r="B678" s="9" t="s">
        <v>209</v>
      </c>
      <c r="C678" s="9" t="s">
        <v>210</v>
      </c>
      <c r="D678" s="10" t="s">
        <v>11</v>
      </c>
      <c r="E678" s="11" t="s">
        <v>88</v>
      </c>
      <c r="F678" s="12">
        <v>33.83</v>
      </c>
      <c r="G678" s="12">
        <f>F678-'Estatística'!$D$6/'Estatística'!$D$10</f>
        <v>32.82698037</v>
      </c>
      <c r="H678" s="13">
        <v>45052.0</v>
      </c>
      <c r="I678" s="14" t="str">
        <f t="shared" si="1"/>
        <v>mai.</v>
      </c>
      <c r="O678" s="8"/>
    </row>
    <row r="679" ht="15.75" customHeight="1">
      <c r="A679" s="19">
        <v>42.0</v>
      </c>
      <c r="B679" s="19" t="s">
        <v>92</v>
      </c>
      <c r="C679" s="19" t="s">
        <v>170</v>
      </c>
      <c r="D679" s="20" t="s">
        <v>30</v>
      </c>
      <c r="E679" s="21" t="s">
        <v>60</v>
      </c>
      <c r="F679" s="22">
        <v>54.72</v>
      </c>
      <c r="G679" s="22">
        <f>F679-'Estatística'!$D$6/'Estatística'!$D$10</f>
        <v>53.71698037</v>
      </c>
      <c r="H679" s="23">
        <v>45053.0</v>
      </c>
      <c r="I679" s="24" t="str">
        <f t="shared" si="1"/>
        <v>mai.</v>
      </c>
      <c r="O679" s="8"/>
    </row>
    <row r="680" ht="15.75" customHeight="1">
      <c r="A680" s="9">
        <v>89.0</v>
      </c>
      <c r="B680" s="9" t="s">
        <v>135</v>
      </c>
      <c r="C680" s="9" t="s">
        <v>136</v>
      </c>
      <c r="D680" s="10" t="s">
        <v>11</v>
      </c>
      <c r="E680" s="11" t="s">
        <v>50</v>
      </c>
      <c r="F680" s="12">
        <v>32.5</v>
      </c>
      <c r="G680" s="12">
        <f>F680-'Estatística'!$D$6/'Estatística'!$D$10</f>
        <v>31.49698037</v>
      </c>
      <c r="H680" s="13">
        <v>45053.0</v>
      </c>
      <c r="I680" s="14" t="str">
        <f t="shared" si="1"/>
        <v>mai.</v>
      </c>
      <c r="O680" s="8"/>
    </row>
    <row r="681" ht="15.75" customHeight="1">
      <c r="A681" s="19">
        <v>65.0</v>
      </c>
      <c r="B681" s="19" t="s">
        <v>209</v>
      </c>
      <c r="C681" s="19" t="s">
        <v>210</v>
      </c>
      <c r="D681" s="20" t="s">
        <v>11</v>
      </c>
      <c r="E681" s="21" t="s">
        <v>46</v>
      </c>
      <c r="F681" s="22">
        <v>12.81</v>
      </c>
      <c r="G681" s="22">
        <f>F681-'Estatística'!$D$6/'Estatística'!$D$10</f>
        <v>11.80698037</v>
      </c>
      <c r="H681" s="23">
        <v>45053.0</v>
      </c>
      <c r="I681" s="24" t="str">
        <f t="shared" si="1"/>
        <v>mai.</v>
      </c>
      <c r="O681" s="8"/>
    </row>
    <row r="682" ht="15.75" customHeight="1">
      <c r="A682" s="9">
        <v>9.0</v>
      </c>
      <c r="B682" s="9" t="s">
        <v>207</v>
      </c>
      <c r="C682" s="9" t="s">
        <v>208</v>
      </c>
      <c r="D682" s="10" t="s">
        <v>30</v>
      </c>
      <c r="E682" s="11" t="s">
        <v>72</v>
      </c>
      <c r="F682" s="12">
        <v>15.32</v>
      </c>
      <c r="G682" s="12">
        <f>F682-'Estatística'!$D$6/'Estatística'!$D$10</f>
        <v>14.31698037</v>
      </c>
      <c r="H682" s="13">
        <v>45053.0</v>
      </c>
      <c r="I682" s="14" t="str">
        <f t="shared" si="1"/>
        <v>mai.</v>
      </c>
      <c r="O682" s="8"/>
    </row>
    <row r="683" ht="15.75" customHeight="1">
      <c r="A683" s="19">
        <v>26.0</v>
      </c>
      <c r="B683" s="19" t="s">
        <v>211</v>
      </c>
      <c r="C683" s="19" t="s">
        <v>212</v>
      </c>
      <c r="D683" s="20" t="s">
        <v>30</v>
      </c>
      <c r="E683" s="21" t="s">
        <v>35</v>
      </c>
      <c r="F683" s="22">
        <v>14.43</v>
      </c>
      <c r="G683" s="22">
        <f>F683-'Estatística'!$D$6/'Estatística'!$D$10</f>
        <v>13.42698037</v>
      </c>
      <c r="H683" s="23">
        <v>45054.0</v>
      </c>
      <c r="I683" s="24" t="str">
        <f t="shared" si="1"/>
        <v>mai.</v>
      </c>
      <c r="O683" s="8"/>
    </row>
    <row r="684" ht="15.75" customHeight="1">
      <c r="A684" s="9">
        <v>96.0</v>
      </c>
      <c r="B684" s="9" t="s">
        <v>163</v>
      </c>
      <c r="C684" s="9" t="s">
        <v>164</v>
      </c>
      <c r="D684" s="10" t="s">
        <v>30</v>
      </c>
      <c r="E684" s="11" t="s">
        <v>79</v>
      </c>
      <c r="F684" s="12">
        <v>33.96</v>
      </c>
      <c r="G684" s="12">
        <f>F684-'Estatística'!$D$6/'Estatística'!$D$10</f>
        <v>32.95698037</v>
      </c>
      <c r="H684" s="13">
        <v>45054.0</v>
      </c>
      <c r="I684" s="14" t="str">
        <f t="shared" si="1"/>
        <v>mai.</v>
      </c>
      <c r="O684" s="8"/>
    </row>
    <row r="685" ht="15.75" customHeight="1">
      <c r="A685" s="19">
        <v>51.0</v>
      </c>
      <c r="B685" s="19" t="s">
        <v>233</v>
      </c>
      <c r="C685" s="19" t="s">
        <v>234</v>
      </c>
      <c r="D685" s="20" t="s">
        <v>11</v>
      </c>
      <c r="E685" s="21" t="s">
        <v>76</v>
      </c>
      <c r="F685" s="22">
        <v>10.69</v>
      </c>
      <c r="G685" s="22">
        <f>F685-'Estatística'!$D$6/'Estatística'!$D$10</f>
        <v>9.686980371</v>
      </c>
      <c r="H685" s="23">
        <v>45054.0</v>
      </c>
      <c r="I685" s="24" t="str">
        <f t="shared" si="1"/>
        <v>mai.</v>
      </c>
      <c r="O685" s="8"/>
    </row>
    <row r="686" ht="15.75" customHeight="1">
      <c r="A686" s="9">
        <v>14.0</v>
      </c>
      <c r="B686" s="9" t="s">
        <v>171</v>
      </c>
      <c r="C686" s="9" t="s">
        <v>172</v>
      </c>
      <c r="D686" s="10" t="s">
        <v>11</v>
      </c>
      <c r="E686" s="11" t="s">
        <v>56</v>
      </c>
      <c r="F686" s="12">
        <v>75.94</v>
      </c>
      <c r="G686" s="12">
        <f>F686-'Estatística'!$D$6/'Estatística'!$D$10</f>
        <v>74.93698037</v>
      </c>
      <c r="H686" s="13">
        <v>45054.0</v>
      </c>
      <c r="I686" s="14" t="str">
        <f t="shared" si="1"/>
        <v>mai.</v>
      </c>
      <c r="O686" s="8"/>
    </row>
    <row r="687" ht="15.75" customHeight="1">
      <c r="A687" s="19">
        <v>76.0</v>
      </c>
      <c r="B687" s="19" t="s">
        <v>213</v>
      </c>
      <c r="C687" s="19" t="s">
        <v>214</v>
      </c>
      <c r="D687" s="20" t="s">
        <v>11</v>
      </c>
      <c r="E687" s="21" t="s">
        <v>52</v>
      </c>
      <c r="F687" s="22">
        <v>64.95</v>
      </c>
      <c r="G687" s="22">
        <f>F687-'Estatística'!$D$6/'Estatística'!$D$10</f>
        <v>63.94698037</v>
      </c>
      <c r="H687" s="23">
        <v>45054.0</v>
      </c>
      <c r="I687" s="24" t="str">
        <f t="shared" si="1"/>
        <v>mai.</v>
      </c>
      <c r="O687" s="8"/>
    </row>
    <row r="688" ht="15.75" customHeight="1">
      <c r="A688" s="9">
        <v>82.0</v>
      </c>
      <c r="B688" s="9" t="s">
        <v>231</v>
      </c>
      <c r="C688" s="9" t="s">
        <v>232</v>
      </c>
      <c r="D688" s="10" t="s">
        <v>11</v>
      </c>
      <c r="E688" s="11" t="s">
        <v>91</v>
      </c>
      <c r="F688" s="12">
        <v>3.37</v>
      </c>
      <c r="G688" s="12">
        <f>F688-'Estatística'!$D$6/'Estatística'!$D$10</f>
        <v>2.366980371</v>
      </c>
      <c r="H688" s="13">
        <v>45055.0</v>
      </c>
      <c r="I688" s="14" t="str">
        <f t="shared" si="1"/>
        <v>mai.</v>
      </c>
      <c r="O688" s="8"/>
    </row>
    <row r="689" ht="15.75" customHeight="1">
      <c r="A689" s="19">
        <v>91.0</v>
      </c>
      <c r="B689" s="19" t="s">
        <v>112</v>
      </c>
      <c r="C689" s="19" t="s">
        <v>113</v>
      </c>
      <c r="D689" s="20" t="s">
        <v>11</v>
      </c>
      <c r="E689" s="21" t="s">
        <v>56</v>
      </c>
      <c r="F689" s="22">
        <v>71.01</v>
      </c>
      <c r="G689" s="22">
        <f>F689-'Estatística'!$D$6/'Estatística'!$D$10</f>
        <v>70.00698037</v>
      </c>
      <c r="H689" s="23">
        <v>45055.0</v>
      </c>
      <c r="I689" s="24" t="str">
        <f t="shared" si="1"/>
        <v>mai.</v>
      </c>
      <c r="O689" s="8"/>
    </row>
    <row r="690" ht="15.75" customHeight="1">
      <c r="A690" s="9">
        <v>33.0</v>
      </c>
      <c r="B690" s="9" t="s">
        <v>191</v>
      </c>
      <c r="C690" s="9" t="s">
        <v>192</v>
      </c>
      <c r="D690" s="10" t="s">
        <v>30</v>
      </c>
      <c r="E690" s="11" t="s">
        <v>82</v>
      </c>
      <c r="F690" s="12">
        <v>12.41</v>
      </c>
      <c r="G690" s="12">
        <f>F690-'Estatística'!$D$6/'Estatística'!$D$10</f>
        <v>11.40698037</v>
      </c>
      <c r="H690" s="13">
        <v>45055.0</v>
      </c>
      <c r="I690" s="14" t="str">
        <f t="shared" si="1"/>
        <v>mai.</v>
      </c>
      <c r="O690" s="8"/>
    </row>
    <row r="691" ht="15.75" customHeight="1">
      <c r="A691" s="19">
        <v>45.0</v>
      </c>
      <c r="B691" s="19" t="s">
        <v>221</v>
      </c>
      <c r="C691" s="19" t="s">
        <v>222</v>
      </c>
      <c r="D691" s="20" t="s">
        <v>11</v>
      </c>
      <c r="E691" s="21" t="s">
        <v>88</v>
      </c>
      <c r="F691" s="22">
        <v>41.03</v>
      </c>
      <c r="G691" s="22">
        <f>F691-'Estatística'!$D$6/'Estatística'!$D$10</f>
        <v>40.02698037</v>
      </c>
      <c r="H691" s="23">
        <v>45055.0</v>
      </c>
      <c r="I691" s="24" t="str">
        <f t="shared" si="1"/>
        <v>mai.</v>
      </c>
      <c r="O691" s="8"/>
    </row>
    <row r="692" ht="15.75" customHeight="1">
      <c r="A692" s="9">
        <v>11.0</v>
      </c>
      <c r="B692" s="9" t="s">
        <v>227</v>
      </c>
      <c r="C692" s="9" t="s">
        <v>228</v>
      </c>
      <c r="D692" s="10" t="s">
        <v>11</v>
      </c>
      <c r="E692" s="11" t="s">
        <v>60</v>
      </c>
      <c r="F692" s="12">
        <v>46.32</v>
      </c>
      <c r="G692" s="12">
        <f>F692-'Estatística'!$D$6/'Estatística'!$D$10</f>
        <v>45.31698037</v>
      </c>
      <c r="H692" s="13">
        <v>45055.0</v>
      </c>
      <c r="I692" s="14" t="str">
        <f t="shared" si="1"/>
        <v>mai.</v>
      </c>
      <c r="O692" s="8"/>
    </row>
    <row r="693" ht="15.75" customHeight="1">
      <c r="A693" s="19">
        <v>25.0</v>
      </c>
      <c r="B693" s="19" t="s">
        <v>154</v>
      </c>
      <c r="C693" s="19" t="s">
        <v>155</v>
      </c>
      <c r="D693" s="20" t="s">
        <v>11</v>
      </c>
      <c r="E693" s="21" t="s">
        <v>88</v>
      </c>
      <c r="F693" s="22">
        <v>41.63</v>
      </c>
      <c r="G693" s="22">
        <f>F693-'Estatística'!$D$6/'Estatística'!$D$10</f>
        <v>40.62698037</v>
      </c>
      <c r="H693" s="23">
        <v>45055.0</v>
      </c>
      <c r="I693" s="24" t="str">
        <f t="shared" si="1"/>
        <v>mai.</v>
      </c>
      <c r="O693" s="8"/>
    </row>
    <row r="694" ht="15.75" customHeight="1">
      <c r="A694" s="9">
        <v>18.0</v>
      </c>
      <c r="B694" s="9" t="s">
        <v>163</v>
      </c>
      <c r="C694" s="9" t="s">
        <v>240</v>
      </c>
      <c r="D694" s="10" t="s">
        <v>30</v>
      </c>
      <c r="E694" s="11" t="s">
        <v>82</v>
      </c>
      <c r="F694" s="12">
        <v>11.55</v>
      </c>
      <c r="G694" s="12">
        <f>F694-'Estatística'!$D$6/'Estatística'!$D$10</f>
        <v>10.54698037</v>
      </c>
      <c r="H694" s="13">
        <v>45055.0</v>
      </c>
      <c r="I694" s="14" t="str">
        <f t="shared" si="1"/>
        <v>mai.</v>
      </c>
      <c r="O694" s="8"/>
    </row>
    <row r="695" ht="15.75" customHeight="1">
      <c r="A695" s="19">
        <v>33.0</v>
      </c>
      <c r="B695" s="19" t="s">
        <v>191</v>
      </c>
      <c r="C695" s="19" t="s">
        <v>192</v>
      </c>
      <c r="D695" s="20" t="s">
        <v>30</v>
      </c>
      <c r="E695" s="21" t="s">
        <v>82</v>
      </c>
      <c r="F695" s="22">
        <v>10.77</v>
      </c>
      <c r="G695" s="22">
        <f>F695-'Estatística'!$D$6/'Estatística'!$D$10</f>
        <v>9.766980371</v>
      </c>
      <c r="H695" s="23">
        <v>45056.0</v>
      </c>
      <c r="I695" s="24" t="str">
        <f t="shared" si="1"/>
        <v>mai.</v>
      </c>
      <c r="O695" s="8"/>
    </row>
    <row r="696" ht="15.75" customHeight="1">
      <c r="A696" s="9">
        <v>64.0</v>
      </c>
      <c r="B696" s="9" t="s">
        <v>159</v>
      </c>
      <c r="C696" s="9" t="s">
        <v>160</v>
      </c>
      <c r="D696" s="10" t="s">
        <v>30</v>
      </c>
      <c r="E696" s="11" t="s">
        <v>88</v>
      </c>
      <c r="F696" s="12">
        <v>36.98</v>
      </c>
      <c r="G696" s="12">
        <f>F696-'Estatística'!$D$6/'Estatística'!$D$10</f>
        <v>35.97698037</v>
      </c>
      <c r="H696" s="13">
        <v>45056.0</v>
      </c>
      <c r="I696" s="14" t="str">
        <f t="shared" si="1"/>
        <v>mai.</v>
      </c>
      <c r="O696" s="8"/>
    </row>
    <row r="697" ht="15.75" customHeight="1">
      <c r="A697" s="19">
        <v>21.0</v>
      </c>
      <c r="B697" s="19" t="s">
        <v>186</v>
      </c>
      <c r="C697" s="19" t="s">
        <v>187</v>
      </c>
      <c r="D697" s="20" t="s">
        <v>11</v>
      </c>
      <c r="E697" s="21" t="s">
        <v>60</v>
      </c>
      <c r="F697" s="22">
        <v>51.31</v>
      </c>
      <c r="G697" s="22">
        <f>F697-'Estatística'!$D$6/'Estatística'!$D$10</f>
        <v>50.30698037</v>
      </c>
      <c r="H697" s="23">
        <v>45056.0</v>
      </c>
      <c r="I697" s="24" t="str">
        <f t="shared" si="1"/>
        <v>mai.</v>
      </c>
      <c r="O697" s="8"/>
    </row>
    <row r="698" ht="15.75" customHeight="1">
      <c r="A698" s="9">
        <v>33.0</v>
      </c>
      <c r="B698" s="9" t="s">
        <v>191</v>
      </c>
      <c r="C698" s="9" t="s">
        <v>192</v>
      </c>
      <c r="D698" s="10" t="s">
        <v>11</v>
      </c>
      <c r="E698" s="11" t="s">
        <v>97</v>
      </c>
      <c r="F698" s="12">
        <v>4.1</v>
      </c>
      <c r="G698" s="12">
        <f>F698-'Estatística'!$D$6/'Estatística'!$D$10</f>
        <v>3.096980371</v>
      </c>
      <c r="H698" s="13">
        <v>45056.0</v>
      </c>
      <c r="I698" s="14" t="str">
        <f t="shared" si="1"/>
        <v>mai.</v>
      </c>
      <c r="O698" s="8"/>
    </row>
    <row r="699" ht="15.75" customHeight="1">
      <c r="A699" s="19">
        <v>60.0</v>
      </c>
      <c r="B699" s="19" t="s">
        <v>65</v>
      </c>
      <c r="C699" s="19" t="s">
        <v>66</v>
      </c>
      <c r="D699" s="20" t="s">
        <v>11</v>
      </c>
      <c r="E699" s="21" t="s">
        <v>12</v>
      </c>
      <c r="F699" s="22">
        <v>10.81</v>
      </c>
      <c r="G699" s="22">
        <f>F699-'Estatística'!$D$6/'Estatística'!$D$10</f>
        <v>9.806980371</v>
      </c>
      <c r="H699" s="23">
        <v>45056.0</v>
      </c>
      <c r="I699" s="24" t="str">
        <f t="shared" si="1"/>
        <v>mai.</v>
      </c>
      <c r="O699" s="8"/>
    </row>
    <row r="700" ht="15.75" customHeight="1">
      <c r="A700" s="9">
        <v>34.0</v>
      </c>
      <c r="B700" s="9" t="s">
        <v>177</v>
      </c>
      <c r="C700" s="9" t="s">
        <v>178</v>
      </c>
      <c r="D700" s="10" t="s">
        <v>30</v>
      </c>
      <c r="E700" s="11" t="s">
        <v>72</v>
      </c>
      <c r="F700" s="12">
        <v>23.9</v>
      </c>
      <c r="G700" s="12">
        <f>F700-'Estatística'!$D$6/'Estatística'!$D$10</f>
        <v>22.89698037</v>
      </c>
      <c r="H700" s="13">
        <v>45056.0</v>
      </c>
      <c r="I700" s="14" t="str">
        <f t="shared" si="1"/>
        <v>mai.</v>
      </c>
      <c r="O700" s="8"/>
    </row>
    <row r="701" ht="15.75" customHeight="1">
      <c r="A701" s="19">
        <v>3.0</v>
      </c>
      <c r="B701" s="19" t="s">
        <v>80</v>
      </c>
      <c r="C701" s="19" t="s">
        <v>81</v>
      </c>
      <c r="D701" s="20" t="s">
        <v>11</v>
      </c>
      <c r="E701" s="21" t="s">
        <v>39</v>
      </c>
      <c r="F701" s="22">
        <v>32.67</v>
      </c>
      <c r="G701" s="22">
        <f>F701-'Estatística'!$D$6/'Estatística'!$D$10</f>
        <v>31.66698037</v>
      </c>
      <c r="H701" s="23">
        <v>45056.0</v>
      </c>
      <c r="I701" s="24" t="str">
        <f t="shared" si="1"/>
        <v>mai.</v>
      </c>
      <c r="O701" s="8"/>
    </row>
    <row r="702" ht="15.75" customHeight="1">
      <c r="A702" s="9">
        <v>70.0</v>
      </c>
      <c r="B702" s="9" t="s">
        <v>152</v>
      </c>
      <c r="C702" s="9" t="s">
        <v>153</v>
      </c>
      <c r="D702" s="10" t="s">
        <v>11</v>
      </c>
      <c r="E702" s="11" t="s">
        <v>88</v>
      </c>
      <c r="F702" s="12">
        <v>32.71</v>
      </c>
      <c r="G702" s="12">
        <f>F702-'Estatística'!$D$6/'Estatística'!$D$10</f>
        <v>31.70698037</v>
      </c>
      <c r="H702" s="13">
        <v>45056.0</v>
      </c>
      <c r="I702" s="14" t="str">
        <f t="shared" si="1"/>
        <v>mai.</v>
      </c>
      <c r="O702" s="8"/>
    </row>
    <row r="703" ht="15.75" customHeight="1">
      <c r="A703" s="19">
        <v>44.0</v>
      </c>
      <c r="B703" s="19" t="s">
        <v>215</v>
      </c>
      <c r="C703" s="19" t="s">
        <v>216</v>
      </c>
      <c r="D703" s="20" t="s">
        <v>11</v>
      </c>
      <c r="E703" s="21" t="s">
        <v>50</v>
      </c>
      <c r="F703" s="22">
        <v>22.75</v>
      </c>
      <c r="G703" s="22">
        <f>F703-'Estatística'!$D$6/'Estatística'!$D$10</f>
        <v>21.74698037</v>
      </c>
      <c r="H703" s="23">
        <v>45057.0</v>
      </c>
      <c r="I703" s="24" t="str">
        <f t="shared" si="1"/>
        <v>mai.</v>
      </c>
      <c r="O703" s="8"/>
    </row>
    <row r="704" ht="15.75" customHeight="1">
      <c r="A704" s="9">
        <v>31.0</v>
      </c>
      <c r="B704" s="9" t="s">
        <v>229</v>
      </c>
      <c r="C704" s="9" t="s">
        <v>230</v>
      </c>
      <c r="D704" s="10" t="s">
        <v>30</v>
      </c>
      <c r="E704" s="11" t="s">
        <v>46</v>
      </c>
      <c r="F704" s="12">
        <v>11.83</v>
      </c>
      <c r="G704" s="12">
        <f>F704-'Estatística'!$D$6/'Estatística'!$D$10</f>
        <v>10.82698037</v>
      </c>
      <c r="H704" s="13">
        <v>45058.0</v>
      </c>
      <c r="I704" s="14" t="str">
        <f t="shared" si="1"/>
        <v>mai.</v>
      </c>
      <c r="O704" s="8"/>
    </row>
    <row r="705" ht="15.75" customHeight="1">
      <c r="A705" s="19">
        <v>56.0</v>
      </c>
      <c r="B705" s="19" t="s">
        <v>127</v>
      </c>
      <c r="C705" s="19" t="s">
        <v>128</v>
      </c>
      <c r="D705" s="20" t="s">
        <v>30</v>
      </c>
      <c r="E705" s="21" t="s">
        <v>60</v>
      </c>
      <c r="F705" s="22">
        <v>49.97</v>
      </c>
      <c r="G705" s="22">
        <f>F705-'Estatística'!$D$6/'Estatística'!$D$10</f>
        <v>48.96698037</v>
      </c>
      <c r="H705" s="23">
        <v>45058.0</v>
      </c>
      <c r="I705" s="24" t="str">
        <f t="shared" si="1"/>
        <v>mai.</v>
      </c>
      <c r="O705" s="8"/>
    </row>
    <row r="706" ht="15.75" customHeight="1">
      <c r="A706" s="9">
        <v>53.0</v>
      </c>
      <c r="B706" s="9" t="s">
        <v>241</v>
      </c>
      <c r="C706" s="9" t="s">
        <v>242</v>
      </c>
      <c r="D706" s="10" t="s">
        <v>11</v>
      </c>
      <c r="E706" s="11" t="s">
        <v>46</v>
      </c>
      <c r="F706" s="12">
        <v>14.22</v>
      </c>
      <c r="G706" s="12">
        <f>F706-'Estatística'!$D$6/'Estatística'!$D$10</f>
        <v>13.21698037</v>
      </c>
      <c r="H706" s="13">
        <v>45058.0</v>
      </c>
      <c r="I706" s="14" t="str">
        <f t="shared" si="1"/>
        <v>mai.</v>
      </c>
      <c r="O706" s="8"/>
    </row>
    <row r="707" ht="15.75" customHeight="1">
      <c r="A707" s="19">
        <v>76.0</v>
      </c>
      <c r="B707" s="19" t="s">
        <v>213</v>
      </c>
      <c r="C707" s="19" t="s">
        <v>214</v>
      </c>
      <c r="D707" s="20" t="s">
        <v>11</v>
      </c>
      <c r="E707" s="21" t="s">
        <v>72</v>
      </c>
      <c r="F707" s="22">
        <v>22.92</v>
      </c>
      <c r="G707" s="22">
        <f>F707-'Estatística'!$D$6/'Estatística'!$D$10</f>
        <v>21.91698037</v>
      </c>
      <c r="H707" s="23">
        <v>45058.0</v>
      </c>
      <c r="I707" s="24" t="str">
        <f t="shared" si="1"/>
        <v>mai.</v>
      </c>
      <c r="O707" s="8"/>
    </row>
    <row r="708" ht="15.75" customHeight="1">
      <c r="A708" s="9">
        <v>2.0</v>
      </c>
      <c r="B708" s="9" t="s">
        <v>83</v>
      </c>
      <c r="C708" s="9" t="s">
        <v>84</v>
      </c>
      <c r="D708" s="10" t="s">
        <v>30</v>
      </c>
      <c r="E708" s="11" t="s">
        <v>50</v>
      </c>
      <c r="F708" s="12">
        <v>21.33</v>
      </c>
      <c r="G708" s="12">
        <f>F708-'Estatística'!$D$6/'Estatística'!$D$10</f>
        <v>20.32698037</v>
      </c>
      <c r="H708" s="13">
        <v>45058.0</v>
      </c>
      <c r="I708" s="14" t="str">
        <f t="shared" si="1"/>
        <v>mai.</v>
      </c>
      <c r="O708" s="8"/>
    </row>
    <row r="709" ht="15.75" customHeight="1">
      <c r="A709" s="19">
        <v>9.0</v>
      </c>
      <c r="B709" s="19" t="s">
        <v>207</v>
      </c>
      <c r="C709" s="19" t="s">
        <v>208</v>
      </c>
      <c r="D709" s="20" t="s">
        <v>11</v>
      </c>
      <c r="E709" s="21" t="s">
        <v>12</v>
      </c>
      <c r="F709" s="22">
        <v>10.71</v>
      </c>
      <c r="G709" s="22">
        <f>F709-'Estatística'!$D$6/'Estatística'!$D$10</f>
        <v>9.706980371</v>
      </c>
      <c r="H709" s="23">
        <v>45058.0</v>
      </c>
      <c r="I709" s="24" t="str">
        <f t="shared" si="1"/>
        <v>mai.</v>
      </c>
      <c r="O709" s="8"/>
    </row>
    <row r="710" ht="15.75" customHeight="1">
      <c r="A710" s="9">
        <v>59.0</v>
      </c>
      <c r="B710" s="9" t="s">
        <v>103</v>
      </c>
      <c r="C710" s="9" t="s">
        <v>104</v>
      </c>
      <c r="D710" s="10" t="s">
        <v>11</v>
      </c>
      <c r="E710" s="11" t="s">
        <v>97</v>
      </c>
      <c r="F710" s="12">
        <v>2.55</v>
      </c>
      <c r="G710" s="12">
        <f>F710-'Estatística'!$D$6/'Estatística'!$D$10</f>
        <v>1.546980371</v>
      </c>
      <c r="H710" s="13">
        <v>45058.0</v>
      </c>
      <c r="I710" s="14" t="str">
        <f t="shared" si="1"/>
        <v>mai.</v>
      </c>
      <c r="O710" s="8"/>
    </row>
    <row r="711" ht="15.75" customHeight="1">
      <c r="A711" s="19">
        <v>100.0</v>
      </c>
      <c r="B711" s="19" t="s">
        <v>48</v>
      </c>
      <c r="C711" s="19" t="s">
        <v>49</v>
      </c>
      <c r="D711" s="20" t="s">
        <v>30</v>
      </c>
      <c r="E711" s="21" t="s">
        <v>46</v>
      </c>
      <c r="F711" s="22">
        <v>14.65</v>
      </c>
      <c r="G711" s="22">
        <f>F711-'Estatística'!$D$6/'Estatística'!$D$10</f>
        <v>13.64698037</v>
      </c>
      <c r="H711" s="23">
        <v>45058.0</v>
      </c>
      <c r="I711" s="24" t="str">
        <f t="shared" si="1"/>
        <v>mai.</v>
      </c>
      <c r="O711" s="8"/>
    </row>
    <row r="712" ht="15.75" customHeight="1">
      <c r="A712" s="9">
        <v>49.0</v>
      </c>
      <c r="B712" s="9" t="s">
        <v>179</v>
      </c>
      <c r="C712" s="9" t="s">
        <v>180</v>
      </c>
      <c r="D712" s="10" t="s">
        <v>11</v>
      </c>
      <c r="E712" s="11" t="s">
        <v>97</v>
      </c>
      <c r="F712" s="12">
        <v>3.9</v>
      </c>
      <c r="G712" s="12">
        <f>F712-'Estatística'!$D$6/'Estatística'!$D$10</f>
        <v>2.896980371</v>
      </c>
      <c r="H712" s="13">
        <v>45058.0</v>
      </c>
      <c r="I712" s="14" t="str">
        <f t="shared" si="1"/>
        <v>mai.</v>
      </c>
      <c r="O712" s="8"/>
    </row>
    <row r="713" ht="15.75" customHeight="1">
      <c r="A713" s="19">
        <v>7.0</v>
      </c>
      <c r="B713" s="19" t="s">
        <v>114</v>
      </c>
      <c r="C713" s="19" t="s">
        <v>115</v>
      </c>
      <c r="D713" s="20" t="s">
        <v>11</v>
      </c>
      <c r="E713" s="21" t="s">
        <v>88</v>
      </c>
      <c r="F713" s="22">
        <v>39.04</v>
      </c>
      <c r="G713" s="22">
        <f>F713-'Estatística'!$D$6/'Estatística'!$D$10</f>
        <v>38.03698037</v>
      </c>
      <c r="H713" s="23">
        <v>45058.0</v>
      </c>
      <c r="I713" s="24" t="str">
        <f t="shared" si="1"/>
        <v>mai.</v>
      </c>
      <c r="O713" s="8"/>
    </row>
    <row r="714" ht="15.75" customHeight="1">
      <c r="A714" s="9">
        <v>75.0</v>
      </c>
      <c r="B714" s="9" t="s">
        <v>238</v>
      </c>
      <c r="C714" s="9" t="s">
        <v>239</v>
      </c>
      <c r="D714" s="10" t="s">
        <v>11</v>
      </c>
      <c r="E714" s="11" t="s">
        <v>88</v>
      </c>
      <c r="F714" s="12">
        <v>41.67</v>
      </c>
      <c r="G714" s="12">
        <f>F714-'Estatística'!$D$6/'Estatística'!$D$10</f>
        <v>40.66698037</v>
      </c>
      <c r="H714" s="13">
        <v>45058.0</v>
      </c>
      <c r="I714" s="14" t="str">
        <f t="shared" si="1"/>
        <v>mai.</v>
      </c>
      <c r="O714" s="8"/>
    </row>
    <row r="715" ht="15.75" customHeight="1">
      <c r="A715" s="19">
        <v>19.0</v>
      </c>
      <c r="B715" s="19" t="s">
        <v>41</v>
      </c>
      <c r="C715" s="19" t="s">
        <v>193</v>
      </c>
      <c r="D715" s="20" t="s">
        <v>11</v>
      </c>
      <c r="E715" s="21" t="s">
        <v>88</v>
      </c>
      <c r="F715" s="22">
        <v>33.87</v>
      </c>
      <c r="G715" s="22">
        <f>F715-'Estatística'!$D$6/'Estatística'!$D$10</f>
        <v>32.86698037</v>
      </c>
      <c r="H715" s="23">
        <v>45058.0</v>
      </c>
      <c r="I715" s="24" t="str">
        <f t="shared" si="1"/>
        <v>mai.</v>
      </c>
      <c r="O715" s="8"/>
    </row>
    <row r="716" ht="15.75" customHeight="1">
      <c r="A716" s="9">
        <v>68.0</v>
      </c>
      <c r="B716" s="9" t="s">
        <v>41</v>
      </c>
      <c r="C716" s="9" t="s">
        <v>42</v>
      </c>
      <c r="D716" s="10" t="s">
        <v>11</v>
      </c>
      <c r="E716" s="11" t="s">
        <v>88</v>
      </c>
      <c r="F716" s="12">
        <v>35.24</v>
      </c>
      <c r="G716" s="12">
        <f>F716-'Estatística'!$D$6/'Estatística'!$D$10</f>
        <v>34.23698037</v>
      </c>
      <c r="H716" s="13">
        <v>45058.0</v>
      </c>
      <c r="I716" s="14" t="str">
        <f t="shared" si="1"/>
        <v>mai.</v>
      </c>
      <c r="O716" s="8"/>
    </row>
    <row r="717" ht="15.75" customHeight="1">
      <c r="A717" s="19">
        <v>18.0</v>
      </c>
      <c r="B717" s="19" t="s">
        <v>163</v>
      </c>
      <c r="C717" s="19" t="s">
        <v>240</v>
      </c>
      <c r="D717" s="20" t="s">
        <v>30</v>
      </c>
      <c r="E717" s="21" t="s">
        <v>85</v>
      </c>
      <c r="F717" s="22">
        <v>12.9</v>
      </c>
      <c r="G717" s="22">
        <f>F717-'Estatística'!$D$6/'Estatística'!$D$10</f>
        <v>11.89698037</v>
      </c>
      <c r="H717" s="23">
        <v>45059.0</v>
      </c>
      <c r="I717" s="24" t="str">
        <f t="shared" si="1"/>
        <v>mai.</v>
      </c>
      <c r="O717" s="8"/>
    </row>
    <row r="718" ht="15.75" customHeight="1">
      <c r="A718" s="9">
        <v>41.0</v>
      </c>
      <c r="B718" s="9" t="s">
        <v>217</v>
      </c>
      <c r="C718" s="9" t="s">
        <v>218</v>
      </c>
      <c r="D718" s="10" t="s">
        <v>30</v>
      </c>
      <c r="E718" s="11" t="s">
        <v>52</v>
      </c>
      <c r="F718" s="12">
        <v>64.88</v>
      </c>
      <c r="G718" s="12">
        <f>F718-'Estatística'!$D$6/'Estatística'!$D$10</f>
        <v>63.87698037</v>
      </c>
      <c r="H718" s="13">
        <v>45059.0</v>
      </c>
      <c r="I718" s="14" t="str">
        <f t="shared" si="1"/>
        <v>mai.</v>
      </c>
      <c r="O718" s="8"/>
    </row>
    <row r="719" ht="15.75" customHeight="1">
      <c r="A719" s="19">
        <v>12.0</v>
      </c>
      <c r="B719" s="19" t="s">
        <v>188</v>
      </c>
      <c r="C719" s="19" t="s">
        <v>189</v>
      </c>
      <c r="D719" s="20" t="s">
        <v>11</v>
      </c>
      <c r="E719" s="21" t="s">
        <v>68</v>
      </c>
      <c r="F719" s="22">
        <v>12.03</v>
      </c>
      <c r="G719" s="22">
        <f>F719-'Estatística'!$D$6/'Estatística'!$D$10</f>
        <v>11.02698037</v>
      </c>
      <c r="H719" s="23">
        <v>45059.0</v>
      </c>
      <c r="I719" s="24" t="str">
        <f t="shared" si="1"/>
        <v>mai.</v>
      </c>
      <c r="O719" s="8"/>
    </row>
    <row r="720" ht="15.75" customHeight="1">
      <c r="A720" s="9">
        <v>26.0</v>
      </c>
      <c r="B720" s="9" t="s">
        <v>211</v>
      </c>
      <c r="C720" s="9" t="s">
        <v>212</v>
      </c>
      <c r="D720" s="10" t="s">
        <v>11</v>
      </c>
      <c r="E720" s="11" t="s">
        <v>82</v>
      </c>
      <c r="F720" s="12">
        <v>14.96</v>
      </c>
      <c r="G720" s="12">
        <f>F720-'Estatística'!$D$6/'Estatística'!$D$10</f>
        <v>13.95698037</v>
      </c>
      <c r="H720" s="13">
        <v>45059.0</v>
      </c>
      <c r="I720" s="14" t="str">
        <f t="shared" si="1"/>
        <v>mai.</v>
      </c>
      <c r="O720" s="8"/>
    </row>
    <row r="721" ht="15.75" customHeight="1">
      <c r="A721" s="19">
        <v>29.0</v>
      </c>
      <c r="B721" s="19" t="s">
        <v>122</v>
      </c>
      <c r="C721" s="19" t="s">
        <v>123</v>
      </c>
      <c r="D721" s="20" t="s">
        <v>30</v>
      </c>
      <c r="E721" s="21" t="s">
        <v>60</v>
      </c>
      <c r="F721" s="22">
        <v>46.4</v>
      </c>
      <c r="G721" s="22">
        <f>F721-'Estatística'!$D$6/'Estatística'!$D$10</f>
        <v>45.39698037</v>
      </c>
      <c r="H721" s="23">
        <v>45059.0</v>
      </c>
      <c r="I721" s="24" t="str">
        <f t="shared" si="1"/>
        <v>mai.</v>
      </c>
      <c r="O721" s="8"/>
    </row>
    <row r="722" ht="15.75" customHeight="1">
      <c r="A722" s="9">
        <v>96.0</v>
      </c>
      <c r="B722" s="9" t="s">
        <v>163</v>
      </c>
      <c r="C722" s="9" t="s">
        <v>164</v>
      </c>
      <c r="D722" s="10" t="s">
        <v>30</v>
      </c>
      <c r="E722" s="11" t="s">
        <v>88</v>
      </c>
      <c r="F722" s="12">
        <v>31.99</v>
      </c>
      <c r="G722" s="12">
        <f>F722-'Estatística'!$D$6/'Estatística'!$D$10</f>
        <v>30.98698037</v>
      </c>
      <c r="H722" s="13">
        <v>45060.0</v>
      </c>
      <c r="I722" s="14" t="str">
        <f t="shared" si="1"/>
        <v>mai.</v>
      </c>
      <c r="O722" s="8"/>
    </row>
    <row r="723" ht="15.75" customHeight="1">
      <c r="A723" s="19">
        <v>44.0</v>
      </c>
      <c r="B723" s="19" t="s">
        <v>215</v>
      </c>
      <c r="C723" s="19" t="s">
        <v>216</v>
      </c>
      <c r="D723" s="20" t="s">
        <v>30</v>
      </c>
      <c r="E723" s="21" t="s">
        <v>82</v>
      </c>
      <c r="F723" s="22">
        <v>12.61</v>
      </c>
      <c r="G723" s="22">
        <f>F723-'Estatística'!$D$6/'Estatística'!$D$10</f>
        <v>11.60698037</v>
      </c>
      <c r="H723" s="23">
        <v>45060.0</v>
      </c>
      <c r="I723" s="24" t="str">
        <f t="shared" si="1"/>
        <v>mai.</v>
      </c>
      <c r="O723" s="8"/>
    </row>
    <row r="724" ht="15.75" customHeight="1">
      <c r="A724" s="9">
        <v>45.0</v>
      </c>
      <c r="B724" s="9" t="s">
        <v>221</v>
      </c>
      <c r="C724" s="9" t="s">
        <v>222</v>
      </c>
      <c r="D724" s="10" t="s">
        <v>30</v>
      </c>
      <c r="E724" s="11" t="s">
        <v>68</v>
      </c>
      <c r="F724" s="12">
        <v>9.93</v>
      </c>
      <c r="G724" s="12">
        <f>F724-'Estatística'!$D$6/'Estatística'!$D$10</f>
        <v>8.926980371</v>
      </c>
      <c r="H724" s="13">
        <v>45060.0</v>
      </c>
      <c r="I724" s="14" t="str">
        <f t="shared" si="1"/>
        <v>mai.</v>
      </c>
      <c r="O724" s="8"/>
    </row>
    <row r="725" ht="15.75" customHeight="1">
      <c r="A725" s="19">
        <v>35.0</v>
      </c>
      <c r="B725" s="19" t="s">
        <v>125</v>
      </c>
      <c r="C725" s="19" t="s">
        <v>126</v>
      </c>
      <c r="D725" s="20" t="s">
        <v>11</v>
      </c>
      <c r="E725" s="21" t="s">
        <v>97</v>
      </c>
      <c r="F725" s="22">
        <v>3.23</v>
      </c>
      <c r="G725" s="22">
        <f>F725-'Estatística'!$D$6/'Estatística'!$D$10</f>
        <v>2.226980371</v>
      </c>
      <c r="H725" s="23">
        <v>45060.0</v>
      </c>
      <c r="I725" s="24" t="str">
        <f t="shared" si="1"/>
        <v>mai.</v>
      </c>
      <c r="O725" s="8"/>
    </row>
    <row r="726" ht="15.75" customHeight="1">
      <c r="A726" s="9">
        <v>13.0</v>
      </c>
      <c r="B726" s="9" t="s">
        <v>137</v>
      </c>
      <c r="C726" s="9" t="s">
        <v>138</v>
      </c>
      <c r="D726" s="10" t="s">
        <v>30</v>
      </c>
      <c r="E726" s="11" t="s">
        <v>52</v>
      </c>
      <c r="F726" s="12">
        <v>64.9</v>
      </c>
      <c r="G726" s="12">
        <f>F726-'Estatística'!$D$6/'Estatística'!$D$10</f>
        <v>63.89698037</v>
      </c>
      <c r="H726" s="13">
        <v>45060.0</v>
      </c>
      <c r="I726" s="14" t="str">
        <f t="shared" si="1"/>
        <v>mai.</v>
      </c>
      <c r="O726" s="8"/>
    </row>
    <row r="727" ht="15.75" customHeight="1">
      <c r="A727" s="19">
        <v>77.0</v>
      </c>
      <c r="B727" s="19" t="s">
        <v>9</v>
      </c>
      <c r="C727" s="19" t="s">
        <v>169</v>
      </c>
      <c r="D727" s="20" t="s">
        <v>30</v>
      </c>
      <c r="E727" s="21" t="s">
        <v>39</v>
      </c>
      <c r="F727" s="22">
        <v>31.24</v>
      </c>
      <c r="G727" s="22">
        <f>F727-'Estatística'!$D$6/'Estatística'!$D$10</f>
        <v>30.23698037</v>
      </c>
      <c r="H727" s="23">
        <v>45060.0</v>
      </c>
      <c r="I727" s="24" t="str">
        <f t="shared" si="1"/>
        <v>mai.</v>
      </c>
      <c r="O727" s="8"/>
    </row>
    <row r="728" ht="15.75" customHeight="1">
      <c r="A728" s="9">
        <v>51.0</v>
      </c>
      <c r="B728" s="9" t="s">
        <v>233</v>
      </c>
      <c r="C728" s="9" t="s">
        <v>234</v>
      </c>
      <c r="D728" s="10" t="s">
        <v>11</v>
      </c>
      <c r="E728" s="11" t="s">
        <v>52</v>
      </c>
      <c r="F728" s="12">
        <v>46.36</v>
      </c>
      <c r="G728" s="12">
        <f>F728-'Estatística'!$D$6/'Estatística'!$D$10</f>
        <v>45.35698037</v>
      </c>
      <c r="H728" s="13">
        <v>45060.0</v>
      </c>
      <c r="I728" s="14" t="str">
        <f t="shared" si="1"/>
        <v>mai.</v>
      </c>
      <c r="O728" s="8"/>
    </row>
    <row r="729" ht="15.75" customHeight="1">
      <c r="A729" s="19">
        <v>32.0</v>
      </c>
      <c r="B729" s="19" t="s">
        <v>146</v>
      </c>
      <c r="C729" s="19" t="s">
        <v>147</v>
      </c>
      <c r="D729" s="20" t="s">
        <v>11</v>
      </c>
      <c r="E729" s="21" t="s">
        <v>72</v>
      </c>
      <c r="F729" s="22">
        <v>23.38</v>
      </c>
      <c r="G729" s="22">
        <f>F729-'Estatística'!$D$6/'Estatística'!$D$10</f>
        <v>22.37698037</v>
      </c>
      <c r="H729" s="23">
        <v>45060.0</v>
      </c>
      <c r="I729" s="24" t="str">
        <f t="shared" si="1"/>
        <v>mai.</v>
      </c>
      <c r="O729" s="8"/>
    </row>
    <row r="730" ht="15.75" customHeight="1">
      <c r="A730" s="9">
        <v>64.0</v>
      </c>
      <c r="B730" s="9" t="s">
        <v>159</v>
      </c>
      <c r="C730" s="9" t="s">
        <v>160</v>
      </c>
      <c r="D730" s="10" t="s">
        <v>30</v>
      </c>
      <c r="E730" s="11" t="s">
        <v>85</v>
      </c>
      <c r="F730" s="12">
        <v>12.95</v>
      </c>
      <c r="G730" s="12">
        <f>F730-'Estatística'!$D$6/'Estatística'!$D$10</f>
        <v>11.94698037</v>
      </c>
      <c r="H730" s="13">
        <v>45061.0</v>
      </c>
      <c r="I730" s="14" t="str">
        <f t="shared" si="1"/>
        <v>mai.</v>
      </c>
      <c r="O730" s="8"/>
    </row>
    <row r="731" ht="15.75" customHeight="1">
      <c r="A731" s="19">
        <v>69.0</v>
      </c>
      <c r="B731" s="19" t="s">
        <v>108</v>
      </c>
      <c r="C731" s="19" t="s">
        <v>145</v>
      </c>
      <c r="D731" s="20" t="s">
        <v>11</v>
      </c>
      <c r="E731" s="21" t="s">
        <v>12</v>
      </c>
      <c r="F731" s="22">
        <v>10.71</v>
      </c>
      <c r="G731" s="22">
        <f>F731-'Estatística'!$D$6/'Estatística'!$D$10</f>
        <v>9.706980371</v>
      </c>
      <c r="H731" s="23">
        <v>45061.0</v>
      </c>
      <c r="I731" s="24" t="str">
        <f t="shared" si="1"/>
        <v>mai.</v>
      </c>
      <c r="O731" s="8"/>
    </row>
    <row r="732" ht="15.75" customHeight="1">
      <c r="A732" s="9">
        <v>74.0</v>
      </c>
      <c r="B732" s="9" t="s">
        <v>9</v>
      </c>
      <c r="C732" s="9" t="s">
        <v>124</v>
      </c>
      <c r="D732" s="10" t="s">
        <v>11</v>
      </c>
      <c r="E732" s="11" t="s">
        <v>56</v>
      </c>
      <c r="F732" s="12">
        <v>67.93</v>
      </c>
      <c r="G732" s="12">
        <f>F732-'Estatística'!$D$6/'Estatística'!$D$10</f>
        <v>66.92698037</v>
      </c>
      <c r="H732" s="13">
        <v>45061.0</v>
      </c>
      <c r="I732" s="14" t="str">
        <f t="shared" si="1"/>
        <v>mai.</v>
      </c>
      <c r="O732" s="8"/>
    </row>
    <row r="733" ht="15.75" customHeight="1">
      <c r="A733" s="19">
        <v>69.0</v>
      </c>
      <c r="B733" s="19" t="s">
        <v>108</v>
      </c>
      <c r="C733" s="19" t="s">
        <v>145</v>
      </c>
      <c r="D733" s="20" t="s">
        <v>30</v>
      </c>
      <c r="E733" s="21" t="s">
        <v>91</v>
      </c>
      <c r="F733" s="22">
        <v>1.39</v>
      </c>
      <c r="G733" s="22">
        <f>F733-'Estatística'!$D$6/'Estatística'!$D$10</f>
        <v>0.3869803714</v>
      </c>
      <c r="H733" s="23">
        <v>45061.0</v>
      </c>
      <c r="I733" s="24" t="str">
        <f t="shared" si="1"/>
        <v>mai.</v>
      </c>
      <c r="O733" s="8"/>
    </row>
    <row r="734" ht="15.75" customHeight="1">
      <c r="A734" s="9">
        <v>90.0</v>
      </c>
      <c r="B734" s="9" t="s">
        <v>219</v>
      </c>
      <c r="C734" s="9" t="s">
        <v>220</v>
      </c>
      <c r="D734" s="10" t="s">
        <v>30</v>
      </c>
      <c r="E734" s="11" t="s">
        <v>35</v>
      </c>
      <c r="F734" s="12">
        <v>21.18</v>
      </c>
      <c r="G734" s="12">
        <f>F734-'Estatística'!$D$6/'Estatística'!$D$10</f>
        <v>20.17698037</v>
      </c>
      <c r="H734" s="13">
        <v>45061.0</v>
      </c>
      <c r="I734" s="14" t="str">
        <f t="shared" si="1"/>
        <v>mai.</v>
      </c>
      <c r="O734" s="8"/>
    </row>
    <row r="735" ht="15.75" customHeight="1">
      <c r="A735" s="19">
        <v>27.0</v>
      </c>
      <c r="B735" s="19" t="s">
        <v>173</v>
      </c>
      <c r="C735" s="19" t="s">
        <v>174</v>
      </c>
      <c r="D735" s="20" t="s">
        <v>11</v>
      </c>
      <c r="E735" s="21" t="s">
        <v>31</v>
      </c>
      <c r="F735" s="22">
        <v>52.15</v>
      </c>
      <c r="G735" s="22">
        <f>F735-'Estatística'!$D$6/'Estatística'!$D$10</f>
        <v>51.14698037</v>
      </c>
      <c r="H735" s="23">
        <v>45061.0</v>
      </c>
      <c r="I735" s="24" t="str">
        <f t="shared" si="1"/>
        <v>mai.</v>
      </c>
      <c r="O735" s="8"/>
    </row>
    <row r="736" ht="15.75" customHeight="1">
      <c r="A736" s="9">
        <v>62.0</v>
      </c>
      <c r="B736" s="9" t="s">
        <v>156</v>
      </c>
      <c r="C736" s="9" t="s">
        <v>157</v>
      </c>
      <c r="D736" s="10" t="s">
        <v>11</v>
      </c>
      <c r="E736" s="11" t="s">
        <v>97</v>
      </c>
      <c r="F736" s="12">
        <v>2.87</v>
      </c>
      <c r="G736" s="12">
        <f>F736-'Estatística'!$D$6/'Estatística'!$D$10</f>
        <v>1.866980371</v>
      </c>
      <c r="H736" s="13">
        <v>45062.0</v>
      </c>
      <c r="I736" s="14" t="str">
        <f t="shared" si="1"/>
        <v>mai.</v>
      </c>
      <c r="O736" s="8"/>
    </row>
    <row r="737" ht="15.75" customHeight="1">
      <c r="A737" s="19">
        <v>30.0</v>
      </c>
      <c r="B737" s="19" t="s">
        <v>9</v>
      </c>
      <c r="C737" s="19" t="s">
        <v>10</v>
      </c>
      <c r="D737" s="20" t="s">
        <v>30</v>
      </c>
      <c r="E737" s="21" t="s">
        <v>39</v>
      </c>
      <c r="F737" s="22">
        <v>38.86</v>
      </c>
      <c r="G737" s="22">
        <f>F737-'Estatística'!$D$6/'Estatística'!$D$10</f>
        <v>37.85698037</v>
      </c>
      <c r="H737" s="23">
        <v>45062.0</v>
      </c>
      <c r="I737" s="24" t="str">
        <f t="shared" si="1"/>
        <v>mai.</v>
      </c>
      <c r="O737" s="8"/>
    </row>
    <row r="738" ht="15.75" customHeight="1">
      <c r="A738" s="9">
        <v>13.0</v>
      </c>
      <c r="B738" s="9" t="s">
        <v>137</v>
      </c>
      <c r="C738" s="9" t="s">
        <v>138</v>
      </c>
      <c r="D738" s="10" t="s">
        <v>30</v>
      </c>
      <c r="E738" s="11" t="s">
        <v>88</v>
      </c>
      <c r="F738" s="12">
        <v>37.17</v>
      </c>
      <c r="G738" s="12">
        <f>F738-'Estatística'!$D$6/'Estatística'!$D$10</f>
        <v>36.16698037</v>
      </c>
      <c r="H738" s="13">
        <v>45062.0</v>
      </c>
      <c r="I738" s="14" t="str">
        <f t="shared" si="1"/>
        <v>mai.</v>
      </c>
      <c r="O738" s="8"/>
    </row>
    <row r="739" ht="15.75" customHeight="1">
      <c r="A739" s="19">
        <v>37.0</v>
      </c>
      <c r="B739" s="19" t="s">
        <v>245</v>
      </c>
      <c r="C739" s="19" t="s">
        <v>246</v>
      </c>
      <c r="D739" s="20" t="s">
        <v>11</v>
      </c>
      <c r="E739" s="21" t="s">
        <v>35</v>
      </c>
      <c r="F739" s="22">
        <v>18.79</v>
      </c>
      <c r="G739" s="22">
        <f>F739-'Estatística'!$D$6/'Estatística'!$D$10</f>
        <v>17.78698037</v>
      </c>
      <c r="H739" s="23">
        <v>45062.0</v>
      </c>
      <c r="I739" s="24" t="str">
        <f t="shared" si="1"/>
        <v>mai.</v>
      </c>
      <c r="O739" s="8"/>
    </row>
    <row r="740" ht="15.75" customHeight="1">
      <c r="A740" s="9">
        <v>35.0</v>
      </c>
      <c r="B740" s="9" t="s">
        <v>125</v>
      </c>
      <c r="C740" s="9" t="s">
        <v>126</v>
      </c>
      <c r="D740" s="10" t="s">
        <v>11</v>
      </c>
      <c r="E740" s="11" t="s">
        <v>91</v>
      </c>
      <c r="F740" s="12">
        <v>1.52</v>
      </c>
      <c r="G740" s="12">
        <f>F740-'Estatística'!$D$6/'Estatística'!$D$10</f>
        <v>0.5169803714</v>
      </c>
      <c r="H740" s="13">
        <v>45062.0</v>
      </c>
      <c r="I740" s="14" t="str">
        <f t="shared" si="1"/>
        <v>mai.</v>
      </c>
      <c r="O740" s="8"/>
    </row>
    <row r="741" ht="15.75" customHeight="1">
      <c r="A741" s="19">
        <v>44.0</v>
      </c>
      <c r="B741" s="19" t="s">
        <v>215</v>
      </c>
      <c r="C741" s="19" t="s">
        <v>216</v>
      </c>
      <c r="D741" s="20" t="s">
        <v>30</v>
      </c>
      <c r="E741" s="21" t="s">
        <v>35</v>
      </c>
      <c r="F741" s="22">
        <v>12.89</v>
      </c>
      <c r="G741" s="22">
        <f>F741-'Estatística'!$D$6/'Estatística'!$D$10</f>
        <v>11.88698037</v>
      </c>
      <c r="H741" s="23">
        <v>45062.0</v>
      </c>
      <c r="I741" s="24" t="str">
        <f t="shared" si="1"/>
        <v>mai.</v>
      </c>
      <c r="O741" s="8"/>
    </row>
    <row r="742" ht="15.75" customHeight="1">
      <c r="A742" s="9">
        <v>4.0</v>
      </c>
      <c r="B742" s="9" t="s">
        <v>118</v>
      </c>
      <c r="C742" s="9" t="s">
        <v>119</v>
      </c>
      <c r="D742" s="10" t="s">
        <v>30</v>
      </c>
      <c r="E742" s="11" t="s">
        <v>91</v>
      </c>
      <c r="F742" s="12">
        <v>2.17</v>
      </c>
      <c r="G742" s="12">
        <f>F742-'Estatística'!$D$6/'Estatística'!$D$10</f>
        <v>1.166980371</v>
      </c>
      <c r="H742" s="13">
        <v>45062.0</v>
      </c>
      <c r="I742" s="14" t="str">
        <f t="shared" si="1"/>
        <v>mai.</v>
      </c>
      <c r="O742" s="8"/>
    </row>
    <row r="743" ht="15.75" customHeight="1">
      <c r="A743" s="19">
        <v>39.0</v>
      </c>
      <c r="B743" s="19" t="s">
        <v>89</v>
      </c>
      <c r="C743" s="19" t="s">
        <v>90</v>
      </c>
      <c r="D743" s="20" t="s">
        <v>30</v>
      </c>
      <c r="E743" s="21" t="s">
        <v>79</v>
      </c>
      <c r="F743" s="22">
        <v>30.25</v>
      </c>
      <c r="G743" s="22">
        <f>F743-'Estatística'!$D$6/'Estatística'!$D$10</f>
        <v>29.24698037</v>
      </c>
      <c r="H743" s="23">
        <v>45062.0</v>
      </c>
      <c r="I743" s="24" t="str">
        <f t="shared" si="1"/>
        <v>mai.</v>
      </c>
      <c r="O743" s="8"/>
    </row>
    <row r="744" ht="15.75" customHeight="1">
      <c r="A744" s="9">
        <v>94.0</v>
      </c>
      <c r="B744" s="9" t="s">
        <v>207</v>
      </c>
      <c r="C744" s="9" t="s">
        <v>237</v>
      </c>
      <c r="D744" s="10" t="s">
        <v>11</v>
      </c>
      <c r="E744" s="11" t="s">
        <v>31</v>
      </c>
      <c r="F744" s="12">
        <v>42.18</v>
      </c>
      <c r="G744" s="12">
        <f>F744-'Estatística'!$D$6/'Estatística'!$D$10</f>
        <v>41.17698037</v>
      </c>
      <c r="H744" s="13">
        <v>45062.0</v>
      </c>
      <c r="I744" s="14" t="str">
        <f t="shared" si="1"/>
        <v>mai.</v>
      </c>
      <c r="O744" s="8"/>
    </row>
    <row r="745" ht="15.75" customHeight="1">
      <c r="A745" s="19">
        <v>73.0</v>
      </c>
      <c r="B745" s="19" t="s">
        <v>223</v>
      </c>
      <c r="C745" s="19" t="s">
        <v>224</v>
      </c>
      <c r="D745" s="20" t="s">
        <v>11</v>
      </c>
      <c r="E745" s="21" t="s">
        <v>68</v>
      </c>
      <c r="F745" s="22">
        <v>16.32</v>
      </c>
      <c r="G745" s="22">
        <f>F745-'Estatística'!$D$6/'Estatística'!$D$10</f>
        <v>15.31698037</v>
      </c>
      <c r="H745" s="23">
        <v>45062.0</v>
      </c>
      <c r="I745" s="24" t="str">
        <f t="shared" si="1"/>
        <v>mai.</v>
      </c>
      <c r="O745" s="8"/>
    </row>
    <row r="746" ht="15.75" customHeight="1">
      <c r="A746" s="9">
        <v>15.0</v>
      </c>
      <c r="B746" s="9" t="s">
        <v>58</v>
      </c>
      <c r="C746" s="9" t="s">
        <v>59</v>
      </c>
      <c r="D746" s="10" t="s">
        <v>11</v>
      </c>
      <c r="E746" s="11" t="s">
        <v>43</v>
      </c>
      <c r="F746" s="12">
        <v>17.37</v>
      </c>
      <c r="G746" s="12">
        <f>F746-'Estatística'!$D$6/'Estatística'!$D$10</f>
        <v>16.36698037</v>
      </c>
      <c r="H746" s="13">
        <v>45063.0</v>
      </c>
      <c r="I746" s="14" t="str">
        <f t="shared" si="1"/>
        <v>mai.</v>
      </c>
      <c r="O746" s="8"/>
    </row>
    <row r="747" ht="15.75" customHeight="1">
      <c r="A747" s="19">
        <v>35.0</v>
      </c>
      <c r="B747" s="19" t="s">
        <v>125</v>
      </c>
      <c r="C747" s="19" t="s">
        <v>126</v>
      </c>
      <c r="D747" s="20" t="s">
        <v>11</v>
      </c>
      <c r="E747" s="21" t="s">
        <v>39</v>
      </c>
      <c r="F747" s="22">
        <v>24.35</v>
      </c>
      <c r="G747" s="22">
        <f>F747-'Estatística'!$D$6/'Estatística'!$D$10</f>
        <v>23.34698037</v>
      </c>
      <c r="H747" s="23">
        <v>45063.0</v>
      </c>
      <c r="I747" s="24" t="str">
        <f t="shared" si="1"/>
        <v>mai.</v>
      </c>
      <c r="O747" s="8"/>
    </row>
    <row r="748" ht="15.75" customHeight="1">
      <c r="A748" s="9">
        <v>25.0</v>
      </c>
      <c r="B748" s="9" t="s">
        <v>154</v>
      </c>
      <c r="C748" s="9" t="s">
        <v>155</v>
      </c>
      <c r="D748" s="10" t="s">
        <v>30</v>
      </c>
      <c r="E748" s="11" t="s">
        <v>94</v>
      </c>
      <c r="F748" s="12">
        <v>26.57</v>
      </c>
      <c r="G748" s="12">
        <f>F748-'Estatística'!$D$6/'Estatística'!$D$10</f>
        <v>25.56698037</v>
      </c>
      <c r="H748" s="13">
        <v>45063.0</v>
      </c>
      <c r="I748" s="14" t="str">
        <f t="shared" si="1"/>
        <v>mai.</v>
      </c>
      <c r="O748" s="8"/>
    </row>
    <row r="749" ht="15.75" customHeight="1">
      <c r="A749" s="19">
        <v>90.0</v>
      </c>
      <c r="B749" s="19" t="s">
        <v>219</v>
      </c>
      <c r="C749" s="19" t="s">
        <v>220</v>
      </c>
      <c r="D749" s="20" t="s">
        <v>30</v>
      </c>
      <c r="E749" s="21" t="s">
        <v>68</v>
      </c>
      <c r="F749" s="22">
        <v>13.27</v>
      </c>
      <c r="G749" s="22">
        <f>F749-'Estatística'!$D$6/'Estatística'!$D$10</f>
        <v>12.26698037</v>
      </c>
      <c r="H749" s="23">
        <v>45063.0</v>
      </c>
      <c r="I749" s="24" t="str">
        <f t="shared" si="1"/>
        <v>mai.</v>
      </c>
      <c r="O749" s="8"/>
    </row>
    <row r="750" ht="15.75" customHeight="1">
      <c r="A750" s="9">
        <v>85.0</v>
      </c>
      <c r="B750" s="9" t="s">
        <v>198</v>
      </c>
      <c r="C750" s="9" t="s">
        <v>199</v>
      </c>
      <c r="D750" s="10" t="s">
        <v>11</v>
      </c>
      <c r="E750" s="11" t="s">
        <v>50</v>
      </c>
      <c r="F750" s="12">
        <v>26.02</v>
      </c>
      <c r="G750" s="12">
        <f>F750-'Estatística'!$D$6/'Estatística'!$D$10</f>
        <v>25.01698037</v>
      </c>
      <c r="H750" s="13">
        <v>45064.0</v>
      </c>
      <c r="I750" s="14" t="str">
        <f t="shared" si="1"/>
        <v>mai.</v>
      </c>
      <c r="O750" s="8"/>
    </row>
    <row r="751" ht="15.75" customHeight="1">
      <c r="A751" s="19">
        <v>4.0</v>
      </c>
      <c r="B751" s="19" t="s">
        <v>118</v>
      </c>
      <c r="C751" s="19" t="s">
        <v>119</v>
      </c>
      <c r="D751" s="20" t="s">
        <v>11</v>
      </c>
      <c r="E751" s="21" t="s">
        <v>39</v>
      </c>
      <c r="F751" s="22">
        <v>39.41</v>
      </c>
      <c r="G751" s="22">
        <f>F751-'Estatística'!$D$6/'Estatística'!$D$10</f>
        <v>38.40698037</v>
      </c>
      <c r="H751" s="23">
        <v>45064.0</v>
      </c>
      <c r="I751" s="24" t="str">
        <f t="shared" si="1"/>
        <v>mai.</v>
      </c>
      <c r="O751" s="8"/>
    </row>
    <row r="752" ht="15.75" customHeight="1">
      <c r="A752" s="9">
        <v>39.0</v>
      </c>
      <c r="B752" s="9" t="s">
        <v>89</v>
      </c>
      <c r="C752" s="9" t="s">
        <v>90</v>
      </c>
      <c r="D752" s="10" t="s">
        <v>30</v>
      </c>
      <c r="E752" s="11" t="s">
        <v>39</v>
      </c>
      <c r="F752" s="12">
        <v>23.68</v>
      </c>
      <c r="G752" s="12">
        <f>F752-'Estatística'!$D$6/'Estatística'!$D$10</f>
        <v>22.67698037</v>
      </c>
      <c r="H752" s="13">
        <v>45064.0</v>
      </c>
      <c r="I752" s="14" t="str">
        <f t="shared" si="1"/>
        <v>mai.</v>
      </c>
      <c r="O752" s="8"/>
    </row>
    <row r="753" ht="15.75" customHeight="1">
      <c r="A753" s="19">
        <v>21.0</v>
      </c>
      <c r="B753" s="19" t="s">
        <v>186</v>
      </c>
      <c r="C753" s="19" t="s">
        <v>187</v>
      </c>
      <c r="D753" s="20" t="s">
        <v>30</v>
      </c>
      <c r="E753" s="21" t="s">
        <v>52</v>
      </c>
      <c r="F753" s="22">
        <v>46.58</v>
      </c>
      <c r="G753" s="22">
        <f>F753-'Estatística'!$D$6/'Estatística'!$D$10</f>
        <v>45.57698037</v>
      </c>
      <c r="H753" s="23">
        <v>45064.0</v>
      </c>
      <c r="I753" s="24" t="str">
        <f t="shared" si="1"/>
        <v>mai.</v>
      </c>
      <c r="O753" s="8"/>
    </row>
    <row r="754" ht="15.75" customHeight="1">
      <c r="A754" s="9">
        <v>88.0</v>
      </c>
      <c r="B754" s="9" t="s">
        <v>200</v>
      </c>
      <c r="C754" s="9" t="s">
        <v>206</v>
      </c>
      <c r="D754" s="10" t="s">
        <v>30</v>
      </c>
      <c r="E754" s="11" t="s">
        <v>39</v>
      </c>
      <c r="F754" s="12">
        <v>28.2</v>
      </c>
      <c r="G754" s="12">
        <f>F754-'Estatística'!$D$6/'Estatística'!$D$10</f>
        <v>27.19698037</v>
      </c>
      <c r="H754" s="13">
        <v>45065.0</v>
      </c>
      <c r="I754" s="14" t="str">
        <f t="shared" si="1"/>
        <v>mai.</v>
      </c>
      <c r="O754" s="8"/>
    </row>
    <row r="755" ht="15.75" customHeight="1">
      <c r="A755" s="19">
        <v>68.0</v>
      </c>
      <c r="B755" s="19" t="s">
        <v>41</v>
      </c>
      <c r="C755" s="19" t="s">
        <v>42</v>
      </c>
      <c r="D755" s="20" t="s">
        <v>11</v>
      </c>
      <c r="E755" s="21" t="s">
        <v>39</v>
      </c>
      <c r="F755" s="22">
        <v>32.54</v>
      </c>
      <c r="G755" s="22">
        <f>F755-'Estatística'!$D$6/'Estatística'!$D$10</f>
        <v>31.53698037</v>
      </c>
      <c r="H755" s="23">
        <v>45065.0</v>
      </c>
      <c r="I755" s="24" t="str">
        <f t="shared" si="1"/>
        <v>mai.</v>
      </c>
      <c r="O755" s="8"/>
    </row>
    <row r="756" ht="15.75" customHeight="1">
      <c r="A756" s="9">
        <v>17.0</v>
      </c>
      <c r="B756" s="9" t="s">
        <v>200</v>
      </c>
      <c r="C756" s="9" t="s">
        <v>201</v>
      </c>
      <c r="D756" s="10" t="s">
        <v>11</v>
      </c>
      <c r="E756" s="11" t="s">
        <v>31</v>
      </c>
      <c r="F756" s="12">
        <v>50.95</v>
      </c>
      <c r="G756" s="12">
        <f>F756-'Estatística'!$D$6/'Estatística'!$D$10</f>
        <v>49.94698037</v>
      </c>
      <c r="H756" s="13">
        <v>45065.0</v>
      </c>
      <c r="I756" s="14" t="str">
        <f t="shared" si="1"/>
        <v>mai.</v>
      </c>
      <c r="O756" s="8"/>
    </row>
    <row r="757" ht="15.75" customHeight="1">
      <c r="A757" s="19">
        <v>62.0</v>
      </c>
      <c r="B757" s="19" t="s">
        <v>156</v>
      </c>
      <c r="C757" s="19" t="s">
        <v>157</v>
      </c>
      <c r="D757" s="20" t="s">
        <v>30</v>
      </c>
      <c r="E757" s="21" t="s">
        <v>94</v>
      </c>
      <c r="F757" s="22">
        <v>30.65</v>
      </c>
      <c r="G757" s="22">
        <f>F757-'Estatística'!$D$6/'Estatística'!$D$10</f>
        <v>29.64698037</v>
      </c>
      <c r="H757" s="23">
        <v>45065.0</v>
      </c>
      <c r="I757" s="24" t="str">
        <f t="shared" si="1"/>
        <v>mai.</v>
      </c>
      <c r="O757" s="8"/>
    </row>
    <row r="758" ht="15.75" customHeight="1">
      <c r="A758" s="9">
        <v>4.0</v>
      </c>
      <c r="B758" s="9" t="s">
        <v>118</v>
      </c>
      <c r="C758" s="9" t="s">
        <v>119</v>
      </c>
      <c r="D758" s="10" t="s">
        <v>30</v>
      </c>
      <c r="E758" s="11" t="s">
        <v>88</v>
      </c>
      <c r="F758" s="12">
        <v>32.32</v>
      </c>
      <c r="G758" s="12">
        <f>F758-'Estatística'!$D$6/'Estatística'!$D$10</f>
        <v>31.31698037</v>
      </c>
      <c r="H758" s="13">
        <v>45065.0</v>
      </c>
      <c r="I758" s="14" t="str">
        <f t="shared" si="1"/>
        <v>mai.</v>
      </c>
      <c r="O758" s="8"/>
    </row>
    <row r="759" ht="15.75" customHeight="1">
      <c r="A759" s="19">
        <v>53.0</v>
      </c>
      <c r="B759" s="19" t="s">
        <v>241</v>
      </c>
      <c r="C759" s="19" t="s">
        <v>242</v>
      </c>
      <c r="D759" s="20" t="s">
        <v>30</v>
      </c>
      <c r="E759" s="21" t="s">
        <v>52</v>
      </c>
      <c r="F759" s="22">
        <v>65.27</v>
      </c>
      <c r="G759" s="22">
        <f>F759-'Estatística'!$D$6/'Estatística'!$D$10</f>
        <v>64.26698037</v>
      </c>
      <c r="H759" s="23">
        <v>45065.0</v>
      </c>
      <c r="I759" s="24" t="str">
        <f t="shared" si="1"/>
        <v>mai.</v>
      </c>
      <c r="O759" s="8"/>
    </row>
    <row r="760" ht="15.75" customHeight="1">
      <c r="A760" s="9">
        <v>68.0</v>
      </c>
      <c r="B760" s="9" t="s">
        <v>41</v>
      </c>
      <c r="C760" s="9" t="s">
        <v>42</v>
      </c>
      <c r="D760" s="10" t="s">
        <v>11</v>
      </c>
      <c r="E760" s="11" t="s">
        <v>56</v>
      </c>
      <c r="F760" s="12">
        <v>63.81</v>
      </c>
      <c r="G760" s="12">
        <f>F760-'Estatística'!$D$6/'Estatística'!$D$10</f>
        <v>62.80698037</v>
      </c>
      <c r="H760" s="13">
        <v>45065.0</v>
      </c>
      <c r="I760" s="14" t="str">
        <f t="shared" si="1"/>
        <v>mai.</v>
      </c>
      <c r="O760" s="8"/>
    </row>
    <row r="761" ht="15.75" customHeight="1">
      <c r="A761" s="19">
        <v>19.0</v>
      </c>
      <c r="B761" s="19" t="s">
        <v>41</v>
      </c>
      <c r="C761" s="19" t="s">
        <v>193</v>
      </c>
      <c r="D761" s="20" t="s">
        <v>30</v>
      </c>
      <c r="E761" s="21" t="s">
        <v>97</v>
      </c>
      <c r="F761" s="22">
        <v>4.12</v>
      </c>
      <c r="G761" s="22">
        <f>F761-'Estatística'!$D$6/'Estatística'!$D$10</f>
        <v>3.116980371</v>
      </c>
      <c r="H761" s="23">
        <v>45065.0</v>
      </c>
      <c r="I761" s="24" t="str">
        <f t="shared" si="1"/>
        <v>mai.</v>
      </c>
      <c r="O761" s="8"/>
    </row>
    <row r="762" ht="15.75" customHeight="1">
      <c r="A762" s="9">
        <v>10.0</v>
      </c>
      <c r="B762" s="9" t="s">
        <v>148</v>
      </c>
      <c r="C762" s="9" t="s">
        <v>149</v>
      </c>
      <c r="D762" s="10" t="s">
        <v>11</v>
      </c>
      <c r="E762" s="11" t="s">
        <v>60</v>
      </c>
      <c r="F762" s="12">
        <v>44.34</v>
      </c>
      <c r="G762" s="12">
        <f>F762-'Estatística'!$D$6/'Estatística'!$D$10</f>
        <v>43.33698037</v>
      </c>
      <c r="H762" s="13">
        <v>45066.0</v>
      </c>
      <c r="I762" s="14" t="str">
        <f t="shared" si="1"/>
        <v>mai.</v>
      </c>
      <c r="O762" s="8"/>
    </row>
    <row r="763" ht="15.75" customHeight="1">
      <c r="A763" s="19">
        <v>18.0</v>
      </c>
      <c r="B763" s="19" t="s">
        <v>163</v>
      </c>
      <c r="C763" s="19" t="s">
        <v>240</v>
      </c>
      <c r="D763" s="20" t="s">
        <v>11</v>
      </c>
      <c r="E763" s="21" t="s">
        <v>60</v>
      </c>
      <c r="F763" s="22">
        <v>50.22</v>
      </c>
      <c r="G763" s="22">
        <f>F763-'Estatística'!$D$6/'Estatística'!$D$10</f>
        <v>49.21698037</v>
      </c>
      <c r="H763" s="23">
        <v>45066.0</v>
      </c>
      <c r="I763" s="24" t="str">
        <f t="shared" si="1"/>
        <v>mai.</v>
      </c>
      <c r="O763" s="8"/>
    </row>
    <row r="764" ht="15.75" customHeight="1">
      <c r="A764" s="9">
        <v>23.0</v>
      </c>
      <c r="B764" s="9" t="s">
        <v>235</v>
      </c>
      <c r="C764" s="9" t="s">
        <v>236</v>
      </c>
      <c r="D764" s="10" t="s">
        <v>11</v>
      </c>
      <c r="E764" s="11" t="s">
        <v>72</v>
      </c>
      <c r="F764" s="12">
        <v>15.8</v>
      </c>
      <c r="G764" s="12">
        <f>F764-'Estatística'!$D$6/'Estatística'!$D$10</f>
        <v>14.79698037</v>
      </c>
      <c r="H764" s="13">
        <v>45066.0</v>
      </c>
      <c r="I764" s="14" t="str">
        <f t="shared" si="1"/>
        <v>mai.</v>
      </c>
      <c r="O764" s="8"/>
    </row>
    <row r="765" ht="15.75" customHeight="1">
      <c r="A765" s="19">
        <v>47.0</v>
      </c>
      <c r="B765" s="19" t="s">
        <v>120</v>
      </c>
      <c r="C765" s="19" t="s">
        <v>121</v>
      </c>
      <c r="D765" s="20" t="s">
        <v>11</v>
      </c>
      <c r="E765" s="21" t="s">
        <v>50</v>
      </c>
      <c r="F765" s="22">
        <v>29.52</v>
      </c>
      <c r="G765" s="22">
        <f>F765-'Estatística'!$D$6/'Estatística'!$D$10</f>
        <v>28.51698037</v>
      </c>
      <c r="H765" s="23">
        <v>45066.0</v>
      </c>
      <c r="I765" s="24" t="str">
        <f t="shared" si="1"/>
        <v>mai.</v>
      </c>
      <c r="O765" s="8"/>
    </row>
    <row r="766" ht="15.75" customHeight="1">
      <c r="A766" s="9">
        <v>71.0</v>
      </c>
      <c r="B766" s="9" t="s">
        <v>150</v>
      </c>
      <c r="C766" s="9" t="s">
        <v>151</v>
      </c>
      <c r="D766" s="10" t="s">
        <v>30</v>
      </c>
      <c r="E766" s="11" t="s">
        <v>35</v>
      </c>
      <c r="F766" s="12">
        <v>12.62</v>
      </c>
      <c r="G766" s="12">
        <f>F766-'Estatística'!$D$6/'Estatística'!$D$10</f>
        <v>11.61698037</v>
      </c>
      <c r="H766" s="13">
        <v>45066.0</v>
      </c>
      <c r="I766" s="14" t="str">
        <f t="shared" si="1"/>
        <v>mai.</v>
      </c>
      <c r="O766" s="8"/>
    </row>
    <row r="767" ht="15.75" customHeight="1">
      <c r="A767" s="19">
        <v>73.0</v>
      </c>
      <c r="B767" s="19" t="s">
        <v>223</v>
      </c>
      <c r="C767" s="19" t="s">
        <v>224</v>
      </c>
      <c r="D767" s="20" t="s">
        <v>11</v>
      </c>
      <c r="E767" s="21" t="s">
        <v>94</v>
      </c>
      <c r="F767" s="22">
        <v>30.42</v>
      </c>
      <c r="G767" s="22">
        <f>F767-'Estatística'!$D$6/'Estatística'!$D$10</f>
        <v>29.41698037</v>
      </c>
      <c r="H767" s="23">
        <v>45066.0</v>
      </c>
      <c r="I767" s="24" t="str">
        <f t="shared" si="1"/>
        <v>mai.</v>
      </c>
      <c r="O767" s="8"/>
    </row>
    <row r="768" ht="15.75" customHeight="1">
      <c r="A768" s="9">
        <v>42.0</v>
      </c>
      <c r="B768" s="9" t="s">
        <v>92</v>
      </c>
      <c r="C768" s="9" t="s">
        <v>170</v>
      </c>
      <c r="D768" s="10" t="s">
        <v>11</v>
      </c>
      <c r="E768" s="11" t="s">
        <v>91</v>
      </c>
      <c r="F768" s="12">
        <v>2.44</v>
      </c>
      <c r="G768" s="12">
        <f>F768-'Estatística'!$D$6/'Estatística'!$D$10</f>
        <v>1.436980371</v>
      </c>
      <c r="H768" s="13">
        <v>45067.0</v>
      </c>
      <c r="I768" s="14" t="str">
        <f t="shared" si="1"/>
        <v>mai.</v>
      </c>
      <c r="O768" s="8"/>
    </row>
    <row r="769" ht="15.75" customHeight="1">
      <c r="A769" s="19">
        <v>23.0</v>
      </c>
      <c r="B769" s="19" t="s">
        <v>235</v>
      </c>
      <c r="C769" s="19" t="s">
        <v>236</v>
      </c>
      <c r="D769" s="20" t="s">
        <v>30</v>
      </c>
      <c r="E769" s="21" t="s">
        <v>60</v>
      </c>
      <c r="F769" s="22">
        <v>38.57</v>
      </c>
      <c r="G769" s="22">
        <f>F769-'Estatística'!$D$6/'Estatística'!$D$10</f>
        <v>37.56698037</v>
      </c>
      <c r="H769" s="23">
        <v>45067.0</v>
      </c>
      <c r="I769" s="24" t="str">
        <f t="shared" si="1"/>
        <v>mai.</v>
      </c>
      <c r="O769" s="8"/>
    </row>
    <row r="770" ht="15.75" customHeight="1">
      <c r="A770" s="9">
        <v>4.0</v>
      </c>
      <c r="B770" s="9" t="s">
        <v>118</v>
      </c>
      <c r="C770" s="9" t="s">
        <v>119</v>
      </c>
      <c r="D770" s="10" t="s">
        <v>11</v>
      </c>
      <c r="E770" s="11" t="s">
        <v>94</v>
      </c>
      <c r="F770" s="12">
        <v>30.81</v>
      </c>
      <c r="G770" s="12">
        <f>F770-'Estatística'!$D$6/'Estatística'!$D$10</f>
        <v>29.80698037</v>
      </c>
      <c r="H770" s="13">
        <v>45068.0</v>
      </c>
      <c r="I770" s="14" t="str">
        <f t="shared" si="1"/>
        <v>mai.</v>
      </c>
      <c r="O770" s="8"/>
    </row>
    <row r="771" ht="15.75" customHeight="1">
      <c r="A771" s="19">
        <v>36.0</v>
      </c>
      <c r="B771" s="19" t="s">
        <v>92</v>
      </c>
      <c r="C771" s="19" t="s">
        <v>93</v>
      </c>
      <c r="D771" s="20" t="s">
        <v>11</v>
      </c>
      <c r="E771" s="21" t="s">
        <v>94</v>
      </c>
      <c r="F771" s="22">
        <v>27.34</v>
      </c>
      <c r="G771" s="22">
        <f>F771-'Estatística'!$D$6/'Estatística'!$D$10</f>
        <v>26.33698037</v>
      </c>
      <c r="H771" s="23">
        <v>45068.0</v>
      </c>
      <c r="I771" s="24" t="str">
        <f t="shared" si="1"/>
        <v>mai.</v>
      </c>
      <c r="O771" s="8"/>
    </row>
    <row r="772" ht="15.75" customHeight="1">
      <c r="A772" s="9">
        <v>75.0</v>
      </c>
      <c r="B772" s="9" t="s">
        <v>238</v>
      </c>
      <c r="C772" s="9" t="s">
        <v>239</v>
      </c>
      <c r="D772" s="10" t="s">
        <v>11</v>
      </c>
      <c r="E772" s="11" t="s">
        <v>94</v>
      </c>
      <c r="F772" s="12">
        <v>27.86</v>
      </c>
      <c r="G772" s="12">
        <f>F772-'Estatística'!$D$6/'Estatística'!$D$10</f>
        <v>26.85698037</v>
      </c>
      <c r="H772" s="13">
        <v>45068.0</v>
      </c>
      <c r="I772" s="14" t="str">
        <f t="shared" si="1"/>
        <v>mai.</v>
      </c>
      <c r="O772" s="8"/>
    </row>
    <row r="773" ht="15.75" customHeight="1">
      <c r="A773" s="19">
        <v>30.0</v>
      </c>
      <c r="B773" s="19" t="s">
        <v>9</v>
      </c>
      <c r="C773" s="19" t="s">
        <v>10</v>
      </c>
      <c r="D773" s="20" t="s">
        <v>11</v>
      </c>
      <c r="E773" s="21" t="s">
        <v>68</v>
      </c>
      <c r="F773" s="22">
        <v>11.45</v>
      </c>
      <c r="G773" s="22">
        <f>F773-'Estatística'!$D$6/'Estatística'!$D$10</f>
        <v>10.44698037</v>
      </c>
      <c r="H773" s="23">
        <v>45068.0</v>
      </c>
      <c r="I773" s="24" t="str">
        <f t="shared" si="1"/>
        <v>mai.</v>
      </c>
      <c r="O773" s="8"/>
    </row>
    <row r="774" ht="15.75" customHeight="1">
      <c r="A774" s="9">
        <v>59.0</v>
      </c>
      <c r="B774" s="9" t="s">
        <v>103</v>
      </c>
      <c r="C774" s="9" t="s">
        <v>104</v>
      </c>
      <c r="D774" s="10" t="s">
        <v>11</v>
      </c>
      <c r="E774" s="11" t="s">
        <v>68</v>
      </c>
      <c r="F774" s="12">
        <v>13.72</v>
      </c>
      <c r="G774" s="12">
        <f>F774-'Estatística'!$D$6/'Estatística'!$D$10</f>
        <v>12.71698037</v>
      </c>
      <c r="H774" s="13">
        <v>45069.0</v>
      </c>
      <c r="I774" s="14" t="str">
        <f t="shared" si="1"/>
        <v>mai.</v>
      </c>
      <c r="O774" s="8"/>
    </row>
    <row r="775" ht="15.75" customHeight="1">
      <c r="A775" s="19">
        <v>87.0</v>
      </c>
      <c r="B775" s="19" t="s">
        <v>243</v>
      </c>
      <c r="C775" s="19" t="s">
        <v>244</v>
      </c>
      <c r="D775" s="20" t="s">
        <v>11</v>
      </c>
      <c r="E775" s="21" t="s">
        <v>94</v>
      </c>
      <c r="F775" s="22">
        <v>30.18</v>
      </c>
      <c r="G775" s="22">
        <f>F775-'Estatística'!$D$6/'Estatística'!$D$10</f>
        <v>29.17698037</v>
      </c>
      <c r="H775" s="23">
        <v>45069.0</v>
      </c>
      <c r="I775" s="24" t="str">
        <f t="shared" si="1"/>
        <v>mai.</v>
      </c>
      <c r="O775" s="8"/>
    </row>
    <row r="776" ht="15.75" customHeight="1">
      <c r="A776" s="9">
        <v>46.0</v>
      </c>
      <c r="B776" s="9" t="s">
        <v>143</v>
      </c>
      <c r="C776" s="9" t="s">
        <v>144</v>
      </c>
      <c r="D776" s="10" t="s">
        <v>11</v>
      </c>
      <c r="E776" s="11" t="s">
        <v>85</v>
      </c>
      <c r="F776" s="12">
        <v>16.47</v>
      </c>
      <c r="G776" s="12">
        <f>F776-'Estatística'!$D$6/'Estatística'!$D$10</f>
        <v>15.46698037</v>
      </c>
      <c r="H776" s="13">
        <v>45069.0</v>
      </c>
      <c r="I776" s="14" t="str">
        <f t="shared" si="1"/>
        <v>mai.</v>
      </c>
      <c r="O776" s="8"/>
    </row>
    <row r="777" ht="15.75" customHeight="1">
      <c r="A777" s="19">
        <v>37.0</v>
      </c>
      <c r="B777" s="19" t="s">
        <v>245</v>
      </c>
      <c r="C777" s="19" t="s">
        <v>246</v>
      </c>
      <c r="D777" s="20" t="s">
        <v>30</v>
      </c>
      <c r="E777" s="21" t="s">
        <v>50</v>
      </c>
      <c r="F777" s="22">
        <v>33.65</v>
      </c>
      <c r="G777" s="22">
        <f>F777-'Estatística'!$D$6/'Estatística'!$D$10</f>
        <v>32.64698037</v>
      </c>
      <c r="H777" s="23">
        <v>45069.0</v>
      </c>
      <c r="I777" s="24" t="str">
        <f t="shared" si="1"/>
        <v>mai.</v>
      </c>
      <c r="O777" s="8"/>
    </row>
    <row r="778" ht="15.75" customHeight="1">
      <c r="A778" s="9">
        <v>9.0</v>
      </c>
      <c r="B778" s="9" t="s">
        <v>207</v>
      </c>
      <c r="C778" s="9" t="s">
        <v>208</v>
      </c>
      <c r="D778" s="10" t="s">
        <v>11</v>
      </c>
      <c r="E778" s="11" t="s">
        <v>39</v>
      </c>
      <c r="F778" s="12">
        <v>29.78</v>
      </c>
      <c r="G778" s="12">
        <f>F778-'Estatística'!$D$6/'Estatística'!$D$10</f>
        <v>28.77698037</v>
      </c>
      <c r="H778" s="13">
        <v>45069.0</v>
      </c>
      <c r="I778" s="14" t="str">
        <f t="shared" si="1"/>
        <v>mai.</v>
      </c>
      <c r="O778" s="8"/>
    </row>
    <row r="779" ht="15.75" customHeight="1">
      <c r="A779" s="19">
        <v>34.0</v>
      </c>
      <c r="B779" s="19" t="s">
        <v>177</v>
      </c>
      <c r="C779" s="19" t="s">
        <v>178</v>
      </c>
      <c r="D779" s="20" t="s">
        <v>30</v>
      </c>
      <c r="E779" s="21" t="s">
        <v>50</v>
      </c>
      <c r="F779" s="22">
        <v>32.69</v>
      </c>
      <c r="G779" s="22">
        <f>F779-'Estatística'!$D$6/'Estatística'!$D$10</f>
        <v>31.68698037</v>
      </c>
      <c r="H779" s="23">
        <v>45069.0</v>
      </c>
      <c r="I779" s="24" t="str">
        <f t="shared" si="1"/>
        <v>mai.</v>
      </c>
      <c r="O779" s="8"/>
    </row>
    <row r="780" ht="15.75" customHeight="1">
      <c r="A780" s="9">
        <v>66.0</v>
      </c>
      <c r="B780" s="9" t="s">
        <v>150</v>
      </c>
      <c r="C780" s="9" t="s">
        <v>158</v>
      </c>
      <c r="D780" s="10" t="s">
        <v>11</v>
      </c>
      <c r="E780" s="11" t="s">
        <v>56</v>
      </c>
      <c r="F780" s="12">
        <v>69.52</v>
      </c>
      <c r="G780" s="12">
        <f>F780-'Estatística'!$D$6/'Estatística'!$D$10</f>
        <v>68.51698037</v>
      </c>
      <c r="H780" s="13">
        <v>45069.0</v>
      </c>
      <c r="I780" s="14" t="str">
        <f t="shared" si="1"/>
        <v>mai.</v>
      </c>
      <c r="O780" s="8"/>
    </row>
    <row r="781" ht="15.75" customHeight="1">
      <c r="A781" s="19">
        <v>98.0</v>
      </c>
      <c r="B781" s="19" t="s">
        <v>159</v>
      </c>
      <c r="C781" s="19" t="s">
        <v>196</v>
      </c>
      <c r="D781" s="20" t="s">
        <v>11</v>
      </c>
      <c r="E781" s="21" t="s">
        <v>35</v>
      </c>
      <c r="F781" s="22">
        <v>18.62</v>
      </c>
      <c r="G781" s="22">
        <f>F781-'Estatística'!$D$6/'Estatística'!$D$10</f>
        <v>17.61698037</v>
      </c>
      <c r="H781" s="23">
        <v>45070.0</v>
      </c>
      <c r="I781" s="24" t="str">
        <f t="shared" si="1"/>
        <v>mai.</v>
      </c>
      <c r="O781" s="8"/>
    </row>
    <row r="782" ht="15.75" customHeight="1">
      <c r="A782" s="9">
        <v>12.0</v>
      </c>
      <c r="B782" s="9" t="s">
        <v>188</v>
      </c>
      <c r="C782" s="9" t="s">
        <v>189</v>
      </c>
      <c r="D782" s="10" t="s">
        <v>11</v>
      </c>
      <c r="E782" s="11" t="s">
        <v>31</v>
      </c>
      <c r="F782" s="12">
        <v>46.55</v>
      </c>
      <c r="G782" s="12">
        <f>F782-'Estatística'!$D$6/'Estatística'!$D$10</f>
        <v>45.54698037</v>
      </c>
      <c r="H782" s="13">
        <v>45070.0</v>
      </c>
      <c r="I782" s="14" t="str">
        <f t="shared" si="1"/>
        <v>mai.</v>
      </c>
      <c r="O782" s="8"/>
    </row>
    <row r="783" ht="15.75" customHeight="1">
      <c r="A783" s="19">
        <v>49.0</v>
      </c>
      <c r="B783" s="19" t="s">
        <v>179</v>
      </c>
      <c r="C783" s="19" t="s">
        <v>180</v>
      </c>
      <c r="D783" s="20" t="s">
        <v>30</v>
      </c>
      <c r="E783" s="21" t="s">
        <v>91</v>
      </c>
      <c r="F783" s="22">
        <v>2.47</v>
      </c>
      <c r="G783" s="22">
        <f>F783-'Estatística'!$D$6/'Estatística'!$D$10</f>
        <v>1.466980371</v>
      </c>
      <c r="H783" s="23">
        <v>45070.0</v>
      </c>
      <c r="I783" s="24" t="str">
        <f t="shared" si="1"/>
        <v>mai.</v>
      </c>
      <c r="O783" s="8"/>
    </row>
    <row r="784" ht="15.75" customHeight="1">
      <c r="A784" s="9">
        <v>88.0</v>
      </c>
      <c r="B784" s="9" t="s">
        <v>200</v>
      </c>
      <c r="C784" s="9" t="s">
        <v>206</v>
      </c>
      <c r="D784" s="10" t="s">
        <v>30</v>
      </c>
      <c r="E784" s="11" t="s">
        <v>85</v>
      </c>
      <c r="F784" s="12">
        <v>12.47</v>
      </c>
      <c r="G784" s="12">
        <f>F784-'Estatística'!$D$6/'Estatística'!$D$10</f>
        <v>11.46698037</v>
      </c>
      <c r="H784" s="13">
        <v>45070.0</v>
      </c>
      <c r="I784" s="14" t="str">
        <f t="shared" si="1"/>
        <v>mai.</v>
      </c>
      <c r="O784" s="8"/>
    </row>
    <row r="785" ht="15.75" customHeight="1">
      <c r="A785" s="19">
        <v>20.0</v>
      </c>
      <c r="B785" s="19" t="s">
        <v>161</v>
      </c>
      <c r="C785" s="19" t="s">
        <v>162</v>
      </c>
      <c r="D785" s="20" t="s">
        <v>30</v>
      </c>
      <c r="E785" s="21" t="s">
        <v>56</v>
      </c>
      <c r="F785" s="22">
        <v>77.05</v>
      </c>
      <c r="G785" s="22">
        <f>F785-'Estatística'!$D$6/'Estatística'!$D$10</f>
        <v>76.04698037</v>
      </c>
      <c r="H785" s="23">
        <v>45070.0</v>
      </c>
      <c r="I785" s="24" t="str">
        <f t="shared" si="1"/>
        <v>mai.</v>
      </c>
      <c r="O785" s="8"/>
    </row>
    <row r="786" ht="15.75" customHeight="1">
      <c r="A786" s="9">
        <v>54.0</v>
      </c>
      <c r="B786" s="9" t="s">
        <v>86</v>
      </c>
      <c r="C786" s="9" t="s">
        <v>87</v>
      </c>
      <c r="D786" s="10" t="s">
        <v>30</v>
      </c>
      <c r="E786" s="11" t="s">
        <v>35</v>
      </c>
      <c r="F786" s="12">
        <v>12.57</v>
      </c>
      <c r="G786" s="12">
        <f>F786-'Estatística'!$D$6/'Estatística'!$D$10</f>
        <v>11.56698037</v>
      </c>
      <c r="H786" s="13">
        <v>45071.0</v>
      </c>
      <c r="I786" s="14" t="str">
        <f t="shared" si="1"/>
        <v>mai.</v>
      </c>
      <c r="O786" s="8"/>
    </row>
    <row r="787" ht="15.75" customHeight="1">
      <c r="A787" s="19">
        <v>70.0</v>
      </c>
      <c r="B787" s="19" t="s">
        <v>152</v>
      </c>
      <c r="C787" s="19" t="s">
        <v>153</v>
      </c>
      <c r="D787" s="20" t="s">
        <v>11</v>
      </c>
      <c r="E787" s="21" t="s">
        <v>85</v>
      </c>
      <c r="F787" s="22">
        <v>12.55</v>
      </c>
      <c r="G787" s="22">
        <f>F787-'Estatística'!$D$6/'Estatística'!$D$10</f>
        <v>11.54698037</v>
      </c>
      <c r="H787" s="23">
        <v>45071.0</v>
      </c>
      <c r="I787" s="24" t="str">
        <f t="shared" si="1"/>
        <v>mai.</v>
      </c>
      <c r="O787" s="8"/>
    </row>
    <row r="788" ht="15.75" customHeight="1">
      <c r="A788" s="9">
        <v>96.0</v>
      </c>
      <c r="B788" s="9" t="s">
        <v>163</v>
      </c>
      <c r="C788" s="9" t="s">
        <v>164</v>
      </c>
      <c r="D788" s="10" t="s">
        <v>30</v>
      </c>
      <c r="E788" s="11" t="s">
        <v>39</v>
      </c>
      <c r="F788" s="12">
        <v>39.58</v>
      </c>
      <c r="G788" s="12">
        <f>F788-'Estatística'!$D$6/'Estatística'!$D$10</f>
        <v>38.57698037</v>
      </c>
      <c r="H788" s="13">
        <v>45071.0</v>
      </c>
      <c r="I788" s="14" t="str">
        <f t="shared" si="1"/>
        <v>mai.</v>
      </c>
      <c r="O788" s="8"/>
    </row>
    <row r="789" ht="15.75" customHeight="1">
      <c r="A789" s="19">
        <v>51.0</v>
      </c>
      <c r="B789" s="19" t="s">
        <v>233</v>
      </c>
      <c r="C789" s="19" t="s">
        <v>234</v>
      </c>
      <c r="D789" s="20" t="s">
        <v>11</v>
      </c>
      <c r="E789" s="21" t="s">
        <v>12</v>
      </c>
      <c r="F789" s="22">
        <v>10.42</v>
      </c>
      <c r="G789" s="22">
        <f>F789-'Estatística'!$D$6/'Estatística'!$D$10</f>
        <v>9.416980371</v>
      </c>
      <c r="H789" s="23">
        <v>45071.0</v>
      </c>
      <c r="I789" s="24" t="str">
        <f t="shared" si="1"/>
        <v>mai.</v>
      </c>
      <c r="O789" s="8"/>
    </row>
    <row r="790" ht="15.75" customHeight="1">
      <c r="A790" s="9">
        <v>46.0</v>
      </c>
      <c r="B790" s="9" t="s">
        <v>143</v>
      </c>
      <c r="C790" s="9" t="s">
        <v>144</v>
      </c>
      <c r="D790" s="10" t="s">
        <v>11</v>
      </c>
      <c r="E790" s="11" t="s">
        <v>91</v>
      </c>
      <c r="F790" s="12">
        <v>2.5</v>
      </c>
      <c r="G790" s="12">
        <f>F790-'Estatística'!$D$6/'Estatística'!$D$10</f>
        <v>1.496980371</v>
      </c>
      <c r="H790" s="13">
        <v>45071.0</v>
      </c>
      <c r="I790" s="14" t="str">
        <f t="shared" si="1"/>
        <v>mai.</v>
      </c>
      <c r="O790" s="8"/>
    </row>
    <row r="791" ht="15.75" customHeight="1">
      <c r="A791" s="19">
        <v>79.0</v>
      </c>
      <c r="B791" s="19" t="s">
        <v>101</v>
      </c>
      <c r="C791" s="19" t="s">
        <v>102</v>
      </c>
      <c r="D791" s="20" t="s">
        <v>11</v>
      </c>
      <c r="E791" s="21" t="s">
        <v>91</v>
      </c>
      <c r="F791" s="22">
        <v>2.12</v>
      </c>
      <c r="G791" s="22">
        <f>F791-'Estatística'!$D$6/'Estatística'!$D$10</f>
        <v>1.116980371</v>
      </c>
      <c r="H791" s="23">
        <v>45071.0</v>
      </c>
      <c r="I791" s="24" t="str">
        <f t="shared" si="1"/>
        <v>mai.</v>
      </c>
      <c r="O791" s="8"/>
    </row>
    <row r="792" ht="15.75" customHeight="1">
      <c r="A792" s="9">
        <v>58.0</v>
      </c>
      <c r="B792" s="9" t="s">
        <v>165</v>
      </c>
      <c r="C792" s="9" t="s">
        <v>166</v>
      </c>
      <c r="D792" s="10" t="s">
        <v>30</v>
      </c>
      <c r="E792" s="11" t="s">
        <v>91</v>
      </c>
      <c r="F792" s="12">
        <v>3.38</v>
      </c>
      <c r="G792" s="12">
        <f>F792-'Estatística'!$D$6/'Estatística'!$D$10</f>
        <v>2.376980371</v>
      </c>
      <c r="H792" s="13">
        <v>45072.0</v>
      </c>
      <c r="I792" s="14" t="str">
        <f t="shared" si="1"/>
        <v>mai.</v>
      </c>
      <c r="O792" s="8"/>
    </row>
    <row r="793" ht="15.75" customHeight="1">
      <c r="A793" s="19">
        <v>80.0</v>
      </c>
      <c r="B793" s="19" t="s">
        <v>37</v>
      </c>
      <c r="C793" s="19" t="s">
        <v>38</v>
      </c>
      <c r="D793" s="20" t="s">
        <v>30</v>
      </c>
      <c r="E793" s="21" t="s">
        <v>79</v>
      </c>
      <c r="F793" s="22">
        <v>27.27</v>
      </c>
      <c r="G793" s="22">
        <f>F793-'Estatística'!$D$6/'Estatística'!$D$10</f>
        <v>26.26698037</v>
      </c>
      <c r="H793" s="23">
        <v>45072.0</v>
      </c>
      <c r="I793" s="24" t="str">
        <f t="shared" si="1"/>
        <v>mai.</v>
      </c>
      <c r="O793" s="8"/>
    </row>
    <row r="794" ht="15.75" customHeight="1">
      <c r="A794" s="9">
        <v>20.0</v>
      </c>
      <c r="B794" s="9" t="s">
        <v>161</v>
      </c>
      <c r="C794" s="9" t="s">
        <v>162</v>
      </c>
      <c r="D794" s="10" t="s">
        <v>11</v>
      </c>
      <c r="E794" s="11" t="s">
        <v>94</v>
      </c>
      <c r="F794" s="12">
        <v>26.21</v>
      </c>
      <c r="G794" s="12">
        <f>F794-'Estatística'!$D$6/'Estatística'!$D$10</f>
        <v>25.20698037</v>
      </c>
      <c r="H794" s="13">
        <v>45072.0</v>
      </c>
      <c r="I794" s="14" t="str">
        <f t="shared" si="1"/>
        <v>mai.</v>
      </c>
      <c r="O794" s="8"/>
    </row>
    <row r="795" ht="15.75" customHeight="1">
      <c r="A795" s="19">
        <v>27.0</v>
      </c>
      <c r="B795" s="19" t="s">
        <v>173</v>
      </c>
      <c r="C795" s="19" t="s">
        <v>174</v>
      </c>
      <c r="D795" s="20" t="s">
        <v>30</v>
      </c>
      <c r="E795" s="21" t="s">
        <v>82</v>
      </c>
      <c r="F795" s="22">
        <v>11.9</v>
      </c>
      <c r="G795" s="22">
        <f>F795-'Estatística'!$D$6/'Estatística'!$D$10</f>
        <v>10.89698037</v>
      </c>
      <c r="H795" s="23">
        <v>45072.0</v>
      </c>
      <c r="I795" s="24" t="str">
        <f t="shared" si="1"/>
        <v>mai.</v>
      </c>
      <c r="O795" s="8"/>
    </row>
    <row r="796" ht="15.75" customHeight="1">
      <c r="A796" s="9">
        <v>81.0</v>
      </c>
      <c r="B796" s="9" t="s">
        <v>54</v>
      </c>
      <c r="C796" s="9" t="s">
        <v>55</v>
      </c>
      <c r="D796" s="10" t="s">
        <v>30</v>
      </c>
      <c r="E796" s="11" t="s">
        <v>79</v>
      </c>
      <c r="F796" s="12">
        <v>34.8</v>
      </c>
      <c r="G796" s="12">
        <f>F796-'Estatística'!$D$6/'Estatística'!$D$10</f>
        <v>33.79698037</v>
      </c>
      <c r="H796" s="13">
        <v>45072.0</v>
      </c>
      <c r="I796" s="14" t="str">
        <f t="shared" si="1"/>
        <v>mai.</v>
      </c>
      <c r="O796" s="8"/>
    </row>
    <row r="797" ht="15.75" customHeight="1">
      <c r="A797" s="19">
        <v>63.0</v>
      </c>
      <c r="B797" s="19" t="s">
        <v>225</v>
      </c>
      <c r="C797" s="19" t="s">
        <v>226</v>
      </c>
      <c r="D797" s="20" t="s">
        <v>30</v>
      </c>
      <c r="E797" s="21" t="s">
        <v>39</v>
      </c>
      <c r="F797" s="22">
        <v>38.14</v>
      </c>
      <c r="G797" s="22">
        <f>F797-'Estatística'!$D$6/'Estatística'!$D$10</f>
        <v>37.13698037</v>
      </c>
      <c r="H797" s="23">
        <v>45072.0</v>
      </c>
      <c r="I797" s="24" t="str">
        <f t="shared" si="1"/>
        <v>mai.</v>
      </c>
      <c r="O797" s="8"/>
    </row>
    <row r="798" ht="15.75" customHeight="1">
      <c r="A798" s="9">
        <v>56.0</v>
      </c>
      <c r="B798" s="9" t="s">
        <v>127</v>
      </c>
      <c r="C798" s="9" t="s">
        <v>128</v>
      </c>
      <c r="D798" s="10" t="s">
        <v>11</v>
      </c>
      <c r="E798" s="11" t="s">
        <v>79</v>
      </c>
      <c r="F798" s="12">
        <v>37.03</v>
      </c>
      <c r="G798" s="12">
        <f>F798-'Estatística'!$D$6/'Estatística'!$D$10</f>
        <v>36.02698037</v>
      </c>
      <c r="H798" s="13">
        <v>45073.0</v>
      </c>
      <c r="I798" s="14" t="str">
        <f t="shared" si="1"/>
        <v>mai.</v>
      </c>
      <c r="O798" s="8"/>
    </row>
    <row r="799" ht="15.75" customHeight="1">
      <c r="A799" s="19">
        <v>89.0</v>
      </c>
      <c r="B799" s="19" t="s">
        <v>135</v>
      </c>
      <c r="C799" s="19" t="s">
        <v>136</v>
      </c>
      <c r="D799" s="20" t="s">
        <v>30</v>
      </c>
      <c r="E799" s="21" t="s">
        <v>39</v>
      </c>
      <c r="F799" s="22">
        <v>37.24</v>
      </c>
      <c r="G799" s="22">
        <f>F799-'Estatística'!$D$6/'Estatística'!$D$10</f>
        <v>36.23698037</v>
      </c>
      <c r="H799" s="23">
        <v>45073.0</v>
      </c>
      <c r="I799" s="24" t="str">
        <f t="shared" si="1"/>
        <v>mai.</v>
      </c>
      <c r="O799" s="8"/>
    </row>
    <row r="800" ht="15.75" customHeight="1">
      <c r="A800" s="9">
        <v>71.0</v>
      </c>
      <c r="B800" s="9" t="s">
        <v>150</v>
      </c>
      <c r="C800" s="9" t="s">
        <v>151</v>
      </c>
      <c r="D800" s="10" t="s">
        <v>30</v>
      </c>
      <c r="E800" s="11" t="s">
        <v>50</v>
      </c>
      <c r="F800" s="12">
        <v>29.2</v>
      </c>
      <c r="G800" s="12">
        <f>F800-'Estatística'!$D$6/'Estatística'!$D$10</f>
        <v>28.19698037</v>
      </c>
      <c r="H800" s="13">
        <v>45073.0</v>
      </c>
      <c r="I800" s="14" t="str">
        <f t="shared" si="1"/>
        <v>mai.</v>
      </c>
      <c r="O800" s="8"/>
    </row>
    <row r="801" ht="15.75" customHeight="1">
      <c r="A801" s="19">
        <v>66.0</v>
      </c>
      <c r="B801" s="19" t="s">
        <v>150</v>
      </c>
      <c r="C801" s="19" t="s">
        <v>158</v>
      </c>
      <c r="D801" s="20" t="s">
        <v>30</v>
      </c>
      <c r="E801" s="21" t="s">
        <v>88</v>
      </c>
      <c r="F801" s="22">
        <v>42.2</v>
      </c>
      <c r="G801" s="22">
        <f>F801-'Estatística'!$D$6/'Estatística'!$D$10</f>
        <v>41.19698037</v>
      </c>
      <c r="H801" s="23">
        <v>45073.0</v>
      </c>
      <c r="I801" s="24" t="str">
        <f t="shared" si="1"/>
        <v>mai.</v>
      </c>
      <c r="O801" s="8"/>
    </row>
    <row r="802" ht="15.75" customHeight="1">
      <c r="A802" s="9">
        <v>1.0</v>
      </c>
      <c r="B802" s="9" t="s">
        <v>194</v>
      </c>
      <c r="C802" s="9" t="s">
        <v>195</v>
      </c>
      <c r="D802" s="10" t="s">
        <v>11</v>
      </c>
      <c r="E802" s="11" t="s">
        <v>68</v>
      </c>
      <c r="F802" s="12">
        <v>8.98</v>
      </c>
      <c r="G802" s="12">
        <f>F802-'Estatística'!$D$6/'Estatística'!$D$10</f>
        <v>7.976980371</v>
      </c>
      <c r="H802" s="13">
        <v>45073.0</v>
      </c>
      <c r="I802" s="14" t="str">
        <f t="shared" si="1"/>
        <v>mai.</v>
      </c>
      <c r="O802" s="8"/>
    </row>
    <row r="803" ht="15.75" customHeight="1">
      <c r="A803" s="19">
        <v>97.0</v>
      </c>
      <c r="B803" s="19" t="s">
        <v>69</v>
      </c>
      <c r="C803" s="19" t="s">
        <v>70</v>
      </c>
      <c r="D803" s="20" t="s">
        <v>11</v>
      </c>
      <c r="E803" s="21" t="s">
        <v>79</v>
      </c>
      <c r="F803" s="22">
        <v>38.48</v>
      </c>
      <c r="G803" s="22">
        <f>F803-'Estatística'!$D$6/'Estatística'!$D$10</f>
        <v>37.47698037</v>
      </c>
      <c r="H803" s="23">
        <v>45073.0</v>
      </c>
      <c r="I803" s="24" t="str">
        <f t="shared" si="1"/>
        <v>mai.</v>
      </c>
      <c r="O803" s="8"/>
    </row>
    <row r="804" ht="15.75" customHeight="1">
      <c r="A804" s="9">
        <v>1.0</v>
      </c>
      <c r="B804" s="9" t="s">
        <v>194</v>
      </c>
      <c r="C804" s="9" t="s">
        <v>195</v>
      </c>
      <c r="D804" s="10" t="s">
        <v>30</v>
      </c>
      <c r="E804" s="11" t="s">
        <v>85</v>
      </c>
      <c r="F804" s="12">
        <v>16.3</v>
      </c>
      <c r="G804" s="12">
        <f>F804-'Estatística'!$D$6/'Estatística'!$D$10</f>
        <v>15.29698037</v>
      </c>
      <c r="H804" s="13">
        <v>45074.0</v>
      </c>
      <c r="I804" s="14" t="str">
        <f t="shared" si="1"/>
        <v>mai.</v>
      </c>
      <c r="O804" s="8"/>
    </row>
    <row r="805" ht="15.75" customHeight="1">
      <c r="A805" s="19">
        <v>5.0</v>
      </c>
      <c r="B805" s="19" t="s">
        <v>167</v>
      </c>
      <c r="C805" s="19" t="s">
        <v>168</v>
      </c>
      <c r="D805" s="20" t="s">
        <v>11</v>
      </c>
      <c r="E805" s="21" t="s">
        <v>56</v>
      </c>
      <c r="F805" s="22">
        <v>65.19</v>
      </c>
      <c r="G805" s="22">
        <f>F805-'Estatística'!$D$6/'Estatística'!$D$10</f>
        <v>64.18698037</v>
      </c>
      <c r="H805" s="23">
        <v>45074.0</v>
      </c>
      <c r="I805" s="24" t="str">
        <f t="shared" si="1"/>
        <v>mai.</v>
      </c>
      <c r="O805" s="8"/>
    </row>
    <row r="806" ht="15.75" customHeight="1">
      <c r="A806" s="9">
        <v>4.0</v>
      </c>
      <c r="B806" s="9" t="s">
        <v>118</v>
      </c>
      <c r="C806" s="9" t="s">
        <v>119</v>
      </c>
      <c r="D806" s="10" t="s">
        <v>30</v>
      </c>
      <c r="E806" s="11" t="s">
        <v>39</v>
      </c>
      <c r="F806" s="12">
        <v>27.62</v>
      </c>
      <c r="G806" s="12">
        <f>F806-'Estatística'!$D$6/'Estatística'!$D$10</f>
        <v>26.61698037</v>
      </c>
      <c r="H806" s="13">
        <v>45074.0</v>
      </c>
      <c r="I806" s="14" t="str">
        <f t="shared" si="1"/>
        <v>mai.</v>
      </c>
      <c r="O806" s="8"/>
    </row>
    <row r="807" ht="15.75" customHeight="1">
      <c r="A807" s="19">
        <v>7.0</v>
      </c>
      <c r="B807" s="19" t="s">
        <v>114</v>
      </c>
      <c r="C807" s="19" t="s">
        <v>115</v>
      </c>
      <c r="D807" s="20" t="s">
        <v>11</v>
      </c>
      <c r="E807" s="21" t="s">
        <v>72</v>
      </c>
      <c r="F807" s="22">
        <v>24.78</v>
      </c>
      <c r="G807" s="22">
        <f>F807-'Estatística'!$D$6/'Estatística'!$D$10</f>
        <v>23.77698037</v>
      </c>
      <c r="H807" s="23">
        <v>45074.0</v>
      </c>
      <c r="I807" s="24" t="str">
        <f t="shared" si="1"/>
        <v>mai.</v>
      </c>
      <c r="O807" s="8"/>
    </row>
    <row r="808" ht="15.75" customHeight="1">
      <c r="A808" s="9">
        <v>70.0</v>
      </c>
      <c r="B808" s="9" t="s">
        <v>152</v>
      </c>
      <c r="C808" s="9" t="s">
        <v>153</v>
      </c>
      <c r="D808" s="10" t="s">
        <v>11</v>
      </c>
      <c r="E808" s="11" t="s">
        <v>43</v>
      </c>
      <c r="F808" s="12">
        <v>17.14</v>
      </c>
      <c r="G808" s="12">
        <f>F808-'Estatística'!$D$6/'Estatística'!$D$10</f>
        <v>16.13698037</v>
      </c>
      <c r="H808" s="13">
        <v>45074.0</v>
      </c>
      <c r="I808" s="14" t="str">
        <f t="shared" si="1"/>
        <v>mai.</v>
      </c>
      <c r="O808" s="8"/>
    </row>
    <row r="809" ht="15.75" customHeight="1">
      <c r="A809" s="19">
        <v>31.0</v>
      </c>
      <c r="B809" s="19" t="s">
        <v>229</v>
      </c>
      <c r="C809" s="19" t="s">
        <v>230</v>
      </c>
      <c r="D809" s="20" t="s">
        <v>11</v>
      </c>
      <c r="E809" s="21" t="s">
        <v>50</v>
      </c>
      <c r="F809" s="22">
        <v>32.1</v>
      </c>
      <c r="G809" s="22">
        <f>F809-'Estatística'!$D$6/'Estatística'!$D$10</f>
        <v>31.09698037</v>
      </c>
      <c r="H809" s="23">
        <v>45074.0</v>
      </c>
      <c r="I809" s="24" t="str">
        <f t="shared" si="1"/>
        <v>mai.</v>
      </c>
      <c r="O809" s="8"/>
    </row>
    <row r="810" ht="15.75" customHeight="1">
      <c r="A810" s="9">
        <v>76.0</v>
      </c>
      <c r="B810" s="9" t="s">
        <v>213</v>
      </c>
      <c r="C810" s="9" t="s">
        <v>214</v>
      </c>
      <c r="D810" s="10" t="s">
        <v>30</v>
      </c>
      <c r="E810" s="11" t="s">
        <v>31</v>
      </c>
      <c r="F810" s="12">
        <v>55.97</v>
      </c>
      <c r="G810" s="12">
        <f>F810-'Estatística'!$D$6/'Estatística'!$D$10</f>
        <v>54.96698037</v>
      </c>
      <c r="H810" s="13">
        <v>45078.0</v>
      </c>
      <c r="I810" s="14" t="str">
        <f t="shared" si="1"/>
        <v>jun.</v>
      </c>
      <c r="O810" s="8"/>
    </row>
    <row r="811" ht="15.75" customHeight="1">
      <c r="A811" s="19">
        <v>48.0</v>
      </c>
      <c r="B811" s="19" t="s">
        <v>41</v>
      </c>
      <c r="C811" s="19" t="s">
        <v>45</v>
      </c>
      <c r="D811" s="20" t="s">
        <v>30</v>
      </c>
      <c r="E811" s="21" t="s">
        <v>76</v>
      </c>
      <c r="F811" s="22">
        <v>11.65</v>
      </c>
      <c r="G811" s="22">
        <f>F811-'Estatística'!$D$6/'Estatística'!$D$10</f>
        <v>10.64698037</v>
      </c>
      <c r="H811" s="23">
        <v>45078.0</v>
      </c>
      <c r="I811" s="24" t="str">
        <f t="shared" si="1"/>
        <v>jun.</v>
      </c>
      <c r="O811" s="8"/>
    </row>
    <row r="812" ht="15.75" customHeight="1">
      <c r="A812" s="9">
        <v>23.0</v>
      </c>
      <c r="B812" s="9" t="s">
        <v>235</v>
      </c>
      <c r="C812" s="9" t="s">
        <v>236</v>
      </c>
      <c r="D812" s="10" t="s">
        <v>30</v>
      </c>
      <c r="E812" s="11" t="s">
        <v>88</v>
      </c>
      <c r="F812" s="12">
        <v>39.47</v>
      </c>
      <c r="G812" s="12">
        <f>F812-'Estatística'!$D$6/'Estatística'!$D$10</f>
        <v>38.46698037</v>
      </c>
      <c r="H812" s="13">
        <v>45078.0</v>
      </c>
      <c r="I812" s="14" t="str">
        <f t="shared" si="1"/>
        <v>jun.</v>
      </c>
      <c r="O812" s="8"/>
    </row>
    <row r="813" ht="15.75" customHeight="1">
      <c r="A813" s="19">
        <v>72.0</v>
      </c>
      <c r="B813" s="19" t="s">
        <v>133</v>
      </c>
      <c r="C813" s="19" t="s">
        <v>134</v>
      </c>
      <c r="D813" s="20" t="s">
        <v>11</v>
      </c>
      <c r="E813" s="21" t="s">
        <v>68</v>
      </c>
      <c r="F813" s="22">
        <v>16.51</v>
      </c>
      <c r="G813" s="22">
        <f>F813-'Estatística'!$D$6/'Estatística'!$D$10</f>
        <v>15.50698037</v>
      </c>
      <c r="H813" s="23">
        <v>45078.0</v>
      </c>
      <c r="I813" s="24" t="str">
        <f t="shared" si="1"/>
        <v>jun.</v>
      </c>
      <c r="O813" s="8"/>
    </row>
    <row r="814" ht="15.75" customHeight="1">
      <c r="A814" s="9">
        <v>65.0</v>
      </c>
      <c r="B814" s="9" t="s">
        <v>209</v>
      </c>
      <c r="C814" s="9" t="s">
        <v>210</v>
      </c>
      <c r="D814" s="10" t="s">
        <v>11</v>
      </c>
      <c r="E814" s="11" t="s">
        <v>50</v>
      </c>
      <c r="F814" s="12">
        <v>24.73</v>
      </c>
      <c r="G814" s="12">
        <f>F814-'Estatística'!$D$6/'Estatística'!$D$10</f>
        <v>23.72698037</v>
      </c>
      <c r="H814" s="13">
        <v>45079.0</v>
      </c>
      <c r="I814" s="14" t="str">
        <f t="shared" si="1"/>
        <v>jun.</v>
      </c>
      <c r="O814" s="8"/>
    </row>
    <row r="815" ht="15.75" customHeight="1">
      <c r="A815" s="19">
        <v>69.0</v>
      </c>
      <c r="B815" s="19" t="s">
        <v>108</v>
      </c>
      <c r="C815" s="19" t="s">
        <v>145</v>
      </c>
      <c r="D815" s="20" t="s">
        <v>11</v>
      </c>
      <c r="E815" s="21" t="s">
        <v>85</v>
      </c>
      <c r="F815" s="22">
        <v>15.87</v>
      </c>
      <c r="G815" s="22">
        <f>F815-'Estatística'!$D$6/'Estatística'!$D$10</f>
        <v>14.86698037</v>
      </c>
      <c r="H815" s="23">
        <v>45079.0</v>
      </c>
      <c r="I815" s="24" t="str">
        <f t="shared" si="1"/>
        <v>jun.</v>
      </c>
      <c r="O815" s="8"/>
    </row>
    <row r="816" ht="15.75" customHeight="1">
      <c r="A816" s="9">
        <v>19.0</v>
      </c>
      <c r="B816" s="9" t="s">
        <v>41</v>
      </c>
      <c r="C816" s="9" t="s">
        <v>193</v>
      </c>
      <c r="D816" s="10" t="s">
        <v>11</v>
      </c>
      <c r="E816" s="11" t="s">
        <v>43</v>
      </c>
      <c r="F816" s="12">
        <v>16.33</v>
      </c>
      <c r="G816" s="12">
        <f>F816-'Estatística'!$D$6/'Estatística'!$D$10</f>
        <v>15.32698037</v>
      </c>
      <c r="H816" s="13">
        <v>45079.0</v>
      </c>
      <c r="I816" s="14" t="str">
        <f t="shared" si="1"/>
        <v>jun.</v>
      </c>
      <c r="O816" s="8"/>
    </row>
    <row r="817" ht="15.75" customHeight="1">
      <c r="A817" s="19">
        <v>20.0</v>
      </c>
      <c r="B817" s="19" t="s">
        <v>161</v>
      </c>
      <c r="C817" s="19" t="s">
        <v>162</v>
      </c>
      <c r="D817" s="20" t="s">
        <v>30</v>
      </c>
      <c r="E817" s="21" t="s">
        <v>12</v>
      </c>
      <c r="F817" s="22">
        <v>10.83</v>
      </c>
      <c r="G817" s="22">
        <f>F817-'Estatística'!$D$6/'Estatística'!$D$10</f>
        <v>9.826980371</v>
      </c>
      <c r="H817" s="23">
        <v>45079.0</v>
      </c>
      <c r="I817" s="24" t="str">
        <f t="shared" si="1"/>
        <v>jun.</v>
      </c>
      <c r="O817" s="8"/>
    </row>
    <row r="818" ht="15.75" customHeight="1">
      <c r="A818" s="9">
        <v>5.0</v>
      </c>
      <c r="B818" s="9" t="s">
        <v>167</v>
      </c>
      <c r="C818" s="9" t="s">
        <v>168</v>
      </c>
      <c r="D818" s="10" t="s">
        <v>30</v>
      </c>
      <c r="E818" s="11" t="s">
        <v>60</v>
      </c>
      <c r="F818" s="12">
        <v>38.91</v>
      </c>
      <c r="G818" s="12">
        <f>F818-'Estatística'!$D$6/'Estatística'!$D$10</f>
        <v>37.90698037</v>
      </c>
      <c r="H818" s="13">
        <v>45079.0</v>
      </c>
      <c r="I818" s="14" t="str">
        <f t="shared" si="1"/>
        <v>jun.</v>
      </c>
      <c r="O818" s="8"/>
    </row>
    <row r="819" ht="15.75" customHeight="1">
      <c r="A819" s="19">
        <v>15.0</v>
      </c>
      <c r="B819" s="19" t="s">
        <v>58</v>
      </c>
      <c r="C819" s="19" t="s">
        <v>59</v>
      </c>
      <c r="D819" s="20" t="s">
        <v>11</v>
      </c>
      <c r="E819" s="21" t="s">
        <v>79</v>
      </c>
      <c r="F819" s="22">
        <v>27.89</v>
      </c>
      <c r="G819" s="22">
        <f>F819-'Estatística'!$D$6/'Estatística'!$D$10</f>
        <v>26.88698037</v>
      </c>
      <c r="H819" s="23">
        <v>45079.0</v>
      </c>
      <c r="I819" s="24" t="str">
        <f t="shared" si="1"/>
        <v>jun.</v>
      </c>
      <c r="O819" s="8"/>
    </row>
    <row r="820" ht="15.75" customHeight="1">
      <c r="A820" s="9">
        <v>97.0</v>
      </c>
      <c r="B820" s="9" t="s">
        <v>69</v>
      </c>
      <c r="C820" s="9" t="s">
        <v>70</v>
      </c>
      <c r="D820" s="10" t="s">
        <v>11</v>
      </c>
      <c r="E820" s="11" t="s">
        <v>97</v>
      </c>
      <c r="F820" s="12">
        <v>3.17</v>
      </c>
      <c r="G820" s="12">
        <f>F820-'Estatística'!$D$6/'Estatística'!$D$10</f>
        <v>2.166980371</v>
      </c>
      <c r="H820" s="13">
        <v>45079.0</v>
      </c>
      <c r="I820" s="14" t="str">
        <f t="shared" si="1"/>
        <v>jun.</v>
      </c>
      <c r="O820" s="8"/>
    </row>
    <row r="821" ht="15.75" customHeight="1">
      <c r="A821" s="19">
        <v>63.0</v>
      </c>
      <c r="B821" s="19" t="s">
        <v>225</v>
      </c>
      <c r="C821" s="19" t="s">
        <v>226</v>
      </c>
      <c r="D821" s="20" t="s">
        <v>11</v>
      </c>
      <c r="E821" s="21" t="s">
        <v>76</v>
      </c>
      <c r="F821" s="22">
        <v>11.0</v>
      </c>
      <c r="G821" s="22">
        <f>F821-'Estatística'!$D$6/'Estatística'!$D$10</f>
        <v>9.996980371</v>
      </c>
      <c r="H821" s="23">
        <v>45079.0</v>
      </c>
      <c r="I821" s="24" t="str">
        <f t="shared" si="1"/>
        <v>jun.</v>
      </c>
      <c r="O821" s="8"/>
    </row>
    <row r="822" ht="15.75" customHeight="1">
      <c r="A822" s="9">
        <v>92.0</v>
      </c>
      <c r="B822" s="9" t="s">
        <v>112</v>
      </c>
      <c r="C822" s="9" t="s">
        <v>197</v>
      </c>
      <c r="D822" s="10" t="s">
        <v>30</v>
      </c>
      <c r="E822" s="11" t="s">
        <v>52</v>
      </c>
      <c r="F822" s="12">
        <v>56.59</v>
      </c>
      <c r="G822" s="12">
        <f>F822-'Estatística'!$D$6/'Estatística'!$D$10</f>
        <v>55.58698037</v>
      </c>
      <c r="H822" s="13">
        <v>45080.0</v>
      </c>
      <c r="I822" s="14" t="str">
        <f t="shared" si="1"/>
        <v>jun.</v>
      </c>
      <c r="O822" s="8"/>
    </row>
    <row r="823" ht="15.75" customHeight="1">
      <c r="A823" s="19">
        <v>51.0</v>
      </c>
      <c r="B823" s="19" t="s">
        <v>233</v>
      </c>
      <c r="C823" s="19" t="s">
        <v>234</v>
      </c>
      <c r="D823" s="20" t="s">
        <v>30</v>
      </c>
      <c r="E823" s="21" t="s">
        <v>82</v>
      </c>
      <c r="F823" s="22">
        <v>10.07</v>
      </c>
      <c r="G823" s="22">
        <f>F823-'Estatística'!$D$6/'Estatística'!$D$10</f>
        <v>9.066980371</v>
      </c>
      <c r="H823" s="23">
        <v>45080.0</v>
      </c>
      <c r="I823" s="24" t="str">
        <f t="shared" si="1"/>
        <v>jun.</v>
      </c>
      <c r="O823" s="8"/>
    </row>
    <row r="824" ht="15.75" customHeight="1">
      <c r="A824" s="9">
        <v>45.0</v>
      </c>
      <c r="B824" s="9" t="s">
        <v>221</v>
      </c>
      <c r="C824" s="9" t="s">
        <v>222</v>
      </c>
      <c r="D824" s="10" t="s">
        <v>11</v>
      </c>
      <c r="E824" s="11" t="s">
        <v>46</v>
      </c>
      <c r="F824" s="12">
        <v>14.01</v>
      </c>
      <c r="G824" s="12">
        <f>F824-'Estatística'!$D$6/'Estatística'!$D$10</f>
        <v>13.00698037</v>
      </c>
      <c r="H824" s="13">
        <v>45080.0</v>
      </c>
      <c r="I824" s="14" t="str">
        <f t="shared" si="1"/>
        <v>jun.</v>
      </c>
      <c r="O824" s="8"/>
    </row>
    <row r="825" ht="15.75" customHeight="1">
      <c r="A825" s="19">
        <v>74.0</v>
      </c>
      <c r="B825" s="19" t="s">
        <v>9</v>
      </c>
      <c r="C825" s="19" t="s">
        <v>124</v>
      </c>
      <c r="D825" s="20" t="s">
        <v>30</v>
      </c>
      <c r="E825" s="21" t="s">
        <v>91</v>
      </c>
      <c r="F825" s="22">
        <v>2.54</v>
      </c>
      <c r="G825" s="22">
        <f>F825-'Estatística'!$D$6/'Estatística'!$D$10</f>
        <v>1.536980371</v>
      </c>
      <c r="H825" s="23">
        <v>45080.0</v>
      </c>
      <c r="I825" s="24" t="str">
        <f t="shared" si="1"/>
        <v>jun.</v>
      </c>
      <c r="O825" s="8"/>
    </row>
    <row r="826" ht="15.75" customHeight="1">
      <c r="A826" s="9">
        <v>42.0</v>
      </c>
      <c r="B826" s="9" t="s">
        <v>92</v>
      </c>
      <c r="C826" s="9" t="s">
        <v>170</v>
      </c>
      <c r="D826" s="10" t="s">
        <v>30</v>
      </c>
      <c r="E826" s="11" t="s">
        <v>79</v>
      </c>
      <c r="F826" s="12">
        <v>36.62</v>
      </c>
      <c r="G826" s="12">
        <f>F826-'Estatística'!$D$6/'Estatística'!$D$10</f>
        <v>35.61698037</v>
      </c>
      <c r="H826" s="13">
        <v>45080.0</v>
      </c>
      <c r="I826" s="14" t="str">
        <f t="shared" si="1"/>
        <v>jun.</v>
      </c>
      <c r="O826" s="8"/>
    </row>
    <row r="827" ht="15.75" customHeight="1">
      <c r="A827" s="19">
        <v>82.0</v>
      </c>
      <c r="B827" s="19" t="s">
        <v>231</v>
      </c>
      <c r="C827" s="19" t="s">
        <v>232</v>
      </c>
      <c r="D827" s="20" t="s">
        <v>11</v>
      </c>
      <c r="E827" s="21" t="s">
        <v>91</v>
      </c>
      <c r="F827" s="22">
        <v>2.74</v>
      </c>
      <c r="G827" s="22">
        <f>F827-'Estatística'!$D$6/'Estatística'!$D$10</f>
        <v>1.736980371</v>
      </c>
      <c r="H827" s="23">
        <v>45080.0</v>
      </c>
      <c r="I827" s="24" t="str">
        <f t="shared" si="1"/>
        <v>jun.</v>
      </c>
      <c r="O827" s="8"/>
    </row>
    <row r="828" ht="15.75" customHeight="1">
      <c r="A828" s="9">
        <v>19.0</v>
      </c>
      <c r="B828" s="9" t="s">
        <v>41</v>
      </c>
      <c r="C828" s="9" t="s">
        <v>193</v>
      </c>
      <c r="D828" s="10" t="s">
        <v>30</v>
      </c>
      <c r="E828" s="11" t="s">
        <v>91</v>
      </c>
      <c r="F828" s="12">
        <v>3.75</v>
      </c>
      <c r="G828" s="12">
        <f>F828-'Estatística'!$D$6/'Estatística'!$D$10</f>
        <v>2.746980371</v>
      </c>
      <c r="H828" s="13">
        <v>45080.0</v>
      </c>
      <c r="I828" s="14" t="str">
        <f t="shared" si="1"/>
        <v>jun.</v>
      </c>
      <c r="O828" s="8"/>
    </row>
    <row r="829" ht="15.75" customHeight="1">
      <c r="A829" s="19">
        <v>72.0</v>
      </c>
      <c r="B829" s="19" t="s">
        <v>133</v>
      </c>
      <c r="C829" s="19" t="s">
        <v>134</v>
      </c>
      <c r="D829" s="20" t="s">
        <v>30</v>
      </c>
      <c r="E829" s="21" t="s">
        <v>97</v>
      </c>
      <c r="F829" s="22">
        <v>3.14</v>
      </c>
      <c r="G829" s="22">
        <f>F829-'Estatística'!$D$6/'Estatística'!$D$10</f>
        <v>2.136980371</v>
      </c>
      <c r="H829" s="23">
        <v>45080.0</v>
      </c>
      <c r="I829" s="24" t="str">
        <f t="shared" si="1"/>
        <v>jun.</v>
      </c>
      <c r="O829" s="8"/>
    </row>
    <row r="830" ht="15.75" customHeight="1">
      <c r="A830" s="9">
        <v>37.0</v>
      </c>
      <c r="B830" s="9" t="s">
        <v>245</v>
      </c>
      <c r="C830" s="9" t="s">
        <v>246</v>
      </c>
      <c r="D830" s="10" t="s">
        <v>30</v>
      </c>
      <c r="E830" s="11" t="s">
        <v>82</v>
      </c>
      <c r="F830" s="12">
        <v>12.71</v>
      </c>
      <c r="G830" s="12">
        <f>F830-'Estatística'!$D$6/'Estatística'!$D$10</f>
        <v>11.70698037</v>
      </c>
      <c r="H830" s="13">
        <v>45081.0</v>
      </c>
      <c r="I830" s="14" t="str">
        <f t="shared" si="1"/>
        <v>jun.</v>
      </c>
      <c r="O830" s="8"/>
    </row>
    <row r="831" ht="15.75" customHeight="1">
      <c r="A831" s="19">
        <v>8.0</v>
      </c>
      <c r="B831" s="19" t="s">
        <v>108</v>
      </c>
      <c r="C831" s="19" t="s">
        <v>109</v>
      </c>
      <c r="D831" s="20" t="s">
        <v>11</v>
      </c>
      <c r="E831" s="21" t="s">
        <v>82</v>
      </c>
      <c r="F831" s="22">
        <v>13.83</v>
      </c>
      <c r="G831" s="22">
        <f>F831-'Estatística'!$D$6/'Estatística'!$D$10</f>
        <v>12.82698037</v>
      </c>
      <c r="H831" s="23">
        <v>45081.0</v>
      </c>
      <c r="I831" s="24" t="str">
        <f t="shared" si="1"/>
        <v>jun.</v>
      </c>
      <c r="O831" s="8"/>
    </row>
    <row r="832" ht="15.75" customHeight="1">
      <c r="A832" s="9">
        <v>59.0</v>
      </c>
      <c r="B832" s="9" t="s">
        <v>103</v>
      </c>
      <c r="C832" s="9" t="s">
        <v>104</v>
      </c>
      <c r="D832" s="10" t="s">
        <v>30</v>
      </c>
      <c r="E832" s="11" t="s">
        <v>85</v>
      </c>
      <c r="F832" s="12">
        <v>11.98</v>
      </c>
      <c r="G832" s="12">
        <f>F832-'Estatística'!$D$6/'Estatística'!$D$10</f>
        <v>10.97698037</v>
      </c>
      <c r="H832" s="13">
        <v>45081.0</v>
      </c>
      <c r="I832" s="14" t="str">
        <f t="shared" si="1"/>
        <v>jun.</v>
      </c>
      <c r="O832" s="8"/>
    </row>
    <row r="833" ht="15.75" customHeight="1">
      <c r="A833" s="19">
        <v>83.0</v>
      </c>
      <c r="B833" s="19" t="s">
        <v>98</v>
      </c>
      <c r="C833" s="19" t="s">
        <v>99</v>
      </c>
      <c r="D833" s="20" t="s">
        <v>30</v>
      </c>
      <c r="E833" s="21" t="s">
        <v>94</v>
      </c>
      <c r="F833" s="22">
        <v>30.05</v>
      </c>
      <c r="G833" s="22">
        <f>F833-'Estatística'!$D$6/'Estatística'!$D$10</f>
        <v>29.04698037</v>
      </c>
      <c r="H833" s="23">
        <v>45081.0</v>
      </c>
      <c r="I833" s="24" t="str">
        <f t="shared" si="1"/>
        <v>jun.</v>
      </c>
      <c r="O833" s="8"/>
    </row>
    <row r="834" ht="15.75" customHeight="1">
      <c r="A834" s="9">
        <v>43.0</v>
      </c>
      <c r="B834" s="9" t="s">
        <v>95</v>
      </c>
      <c r="C834" s="9" t="s">
        <v>96</v>
      </c>
      <c r="D834" s="10" t="s">
        <v>11</v>
      </c>
      <c r="E834" s="11" t="s">
        <v>31</v>
      </c>
      <c r="F834" s="12">
        <v>44.68</v>
      </c>
      <c r="G834" s="12">
        <f>F834-'Estatística'!$D$6/'Estatística'!$D$10</f>
        <v>43.67698037</v>
      </c>
      <c r="H834" s="13">
        <v>45081.0</v>
      </c>
      <c r="I834" s="14" t="str">
        <f t="shared" si="1"/>
        <v>jun.</v>
      </c>
      <c r="O834" s="8"/>
    </row>
    <row r="835" ht="15.75" customHeight="1">
      <c r="A835" s="19">
        <v>30.0</v>
      </c>
      <c r="B835" s="19" t="s">
        <v>9</v>
      </c>
      <c r="C835" s="19" t="s">
        <v>10</v>
      </c>
      <c r="D835" s="20" t="s">
        <v>11</v>
      </c>
      <c r="E835" s="21" t="s">
        <v>79</v>
      </c>
      <c r="F835" s="22">
        <v>29.61</v>
      </c>
      <c r="G835" s="22">
        <f>F835-'Estatística'!$D$6/'Estatística'!$D$10</f>
        <v>28.60698037</v>
      </c>
      <c r="H835" s="23">
        <v>45081.0</v>
      </c>
      <c r="I835" s="24" t="str">
        <f t="shared" si="1"/>
        <v>jun.</v>
      </c>
      <c r="O835" s="8"/>
    </row>
    <row r="836" ht="15.75" customHeight="1">
      <c r="A836" s="9">
        <v>53.0</v>
      </c>
      <c r="B836" s="9" t="s">
        <v>241</v>
      </c>
      <c r="C836" s="9" t="s">
        <v>242</v>
      </c>
      <c r="D836" s="10" t="s">
        <v>11</v>
      </c>
      <c r="E836" s="11" t="s">
        <v>72</v>
      </c>
      <c r="F836" s="12">
        <v>16.0</v>
      </c>
      <c r="G836" s="12">
        <f>F836-'Estatística'!$D$6/'Estatística'!$D$10</f>
        <v>14.99698037</v>
      </c>
      <c r="H836" s="13">
        <v>45081.0</v>
      </c>
      <c r="I836" s="14" t="str">
        <f t="shared" si="1"/>
        <v>jun.</v>
      </c>
      <c r="O836" s="8"/>
    </row>
    <row r="837" ht="15.75" customHeight="1">
      <c r="A837" s="19">
        <v>28.0</v>
      </c>
      <c r="B837" s="19" t="s">
        <v>77</v>
      </c>
      <c r="C837" s="19" t="s">
        <v>78</v>
      </c>
      <c r="D837" s="20" t="s">
        <v>30</v>
      </c>
      <c r="E837" s="21" t="s">
        <v>91</v>
      </c>
      <c r="F837" s="22">
        <v>1.76</v>
      </c>
      <c r="G837" s="22">
        <f>F837-'Estatística'!$D$6/'Estatística'!$D$10</f>
        <v>0.7569803714</v>
      </c>
      <c r="H837" s="23">
        <v>45081.0</v>
      </c>
      <c r="I837" s="24" t="str">
        <f t="shared" si="1"/>
        <v>jun.</v>
      </c>
      <c r="O837" s="8"/>
    </row>
    <row r="838" ht="15.75" customHeight="1">
      <c r="A838" s="9">
        <v>80.0</v>
      </c>
      <c r="B838" s="9" t="s">
        <v>37</v>
      </c>
      <c r="C838" s="9" t="s">
        <v>38</v>
      </c>
      <c r="D838" s="10" t="s">
        <v>30</v>
      </c>
      <c r="E838" s="11" t="s">
        <v>76</v>
      </c>
      <c r="F838" s="12">
        <v>11.23</v>
      </c>
      <c r="G838" s="12">
        <f>F838-'Estatística'!$D$6/'Estatística'!$D$10</f>
        <v>10.22698037</v>
      </c>
      <c r="H838" s="13">
        <v>45082.0</v>
      </c>
      <c r="I838" s="14" t="str">
        <f t="shared" si="1"/>
        <v>jun.</v>
      </c>
      <c r="O838" s="8"/>
    </row>
    <row r="839" ht="15.75" customHeight="1">
      <c r="A839" s="19">
        <v>10.0</v>
      </c>
      <c r="B839" s="19" t="s">
        <v>148</v>
      </c>
      <c r="C839" s="19" t="s">
        <v>149</v>
      </c>
      <c r="D839" s="20" t="s">
        <v>11</v>
      </c>
      <c r="E839" s="21" t="s">
        <v>52</v>
      </c>
      <c r="F839" s="22">
        <v>48.79</v>
      </c>
      <c r="G839" s="22">
        <f>F839-'Estatística'!$D$6/'Estatística'!$D$10</f>
        <v>47.78698037</v>
      </c>
      <c r="H839" s="23">
        <v>45082.0</v>
      </c>
      <c r="I839" s="24" t="str">
        <f t="shared" si="1"/>
        <v>jun.</v>
      </c>
      <c r="O839" s="8"/>
    </row>
    <row r="840" ht="15.75" customHeight="1">
      <c r="A840" s="9">
        <v>68.0</v>
      </c>
      <c r="B840" s="9" t="s">
        <v>41</v>
      </c>
      <c r="C840" s="9" t="s">
        <v>42</v>
      </c>
      <c r="D840" s="10" t="s">
        <v>30</v>
      </c>
      <c r="E840" s="11" t="s">
        <v>72</v>
      </c>
      <c r="F840" s="12">
        <v>18.72</v>
      </c>
      <c r="G840" s="12">
        <f>F840-'Estatística'!$D$6/'Estatística'!$D$10</f>
        <v>17.71698037</v>
      </c>
      <c r="H840" s="13">
        <v>45082.0</v>
      </c>
      <c r="I840" s="14" t="str">
        <f t="shared" si="1"/>
        <v>jun.</v>
      </c>
      <c r="O840" s="8"/>
    </row>
    <row r="841" ht="15.75" customHeight="1">
      <c r="A841" s="19">
        <v>67.0</v>
      </c>
      <c r="B841" s="19" t="s">
        <v>204</v>
      </c>
      <c r="C841" s="19" t="s">
        <v>205</v>
      </c>
      <c r="D841" s="20" t="s">
        <v>30</v>
      </c>
      <c r="E841" s="21" t="s">
        <v>91</v>
      </c>
      <c r="F841" s="22">
        <v>3.73</v>
      </c>
      <c r="G841" s="22">
        <f>F841-'Estatística'!$D$6/'Estatística'!$D$10</f>
        <v>2.726980371</v>
      </c>
      <c r="H841" s="23">
        <v>45082.0</v>
      </c>
      <c r="I841" s="24" t="str">
        <f t="shared" si="1"/>
        <v>jun.</v>
      </c>
      <c r="O841" s="8"/>
    </row>
    <row r="842" ht="15.75" customHeight="1">
      <c r="A842" s="9">
        <v>92.0</v>
      </c>
      <c r="B842" s="9" t="s">
        <v>112</v>
      </c>
      <c r="C842" s="9" t="s">
        <v>197</v>
      </c>
      <c r="D842" s="10" t="s">
        <v>30</v>
      </c>
      <c r="E842" s="11" t="s">
        <v>31</v>
      </c>
      <c r="F842" s="12">
        <v>36.81</v>
      </c>
      <c r="G842" s="12">
        <f>F842-'Estatística'!$D$6/'Estatística'!$D$10</f>
        <v>35.80698037</v>
      </c>
      <c r="H842" s="13">
        <v>45082.0</v>
      </c>
      <c r="I842" s="14" t="str">
        <f t="shared" si="1"/>
        <v>jun.</v>
      </c>
      <c r="O842" s="8"/>
    </row>
    <row r="843" ht="15.75" customHeight="1">
      <c r="A843" s="19">
        <v>51.0</v>
      </c>
      <c r="B843" s="19" t="s">
        <v>233</v>
      </c>
      <c r="C843" s="19" t="s">
        <v>234</v>
      </c>
      <c r="D843" s="20" t="s">
        <v>11</v>
      </c>
      <c r="E843" s="21" t="s">
        <v>56</v>
      </c>
      <c r="F843" s="22">
        <v>60.55</v>
      </c>
      <c r="G843" s="22">
        <f>F843-'Estatística'!$D$6/'Estatística'!$D$10</f>
        <v>59.54698037</v>
      </c>
      <c r="H843" s="23">
        <v>45082.0</v>
      </c>
      <c r="I843" s="24" t="str">
        <f t="shared" si="1"/>
        <v>jun.</v>
      </c>
      <c r="O843" s="8"/>
    </row>
    <row r="844" ht="15.75" customHeight="1">
      <c r="A844" s="9">
        <v>74.0</v>
      </c>
      <c r="B844" s="9" t="s">
        <v>9</v>
      </c>
      <c r="C844" s="9" t="s">
        <v>124</v>
      </c>
      <c r="D844" s="10" t="s">
        <v>11</v>
      </c>
      <c r="E844" s="11" t="s">
        <v>91</v>
      </c>
      <c r="F844" s="12">
        <v>2.81</v>
      </c>
      <c r="G844" s="12">
        <f>F844-'Estatística'!$D$6/'Estatística'!$D$10</f>
        <v>1.806980371</v>
      </c>
      <c r="H844" s="13">
        <v>45082.0</v>
      </c>
      <c r="I844" s="14" t="str">
        <f t="shared" si="1"/>
        <v>jun.</v>
      </c>
      <c r="O844" s="8"/>
    </row>
    <row r="845" ht="15.75" customHeight="1">
      <c r="A845" s="19">
        <v>42.0</v>
      </c>
      <c r="B845" s="19" t="s">
        <v>92</v>
      </c>
      <c r="C845" s="19" t="s">
        <v>170</v>
      </c>
      <c r="D845" s="20" t="s">
        <v>30</v>
      </c>
      <c r="E845" s="21" t="s">
        <v>12</v>
      </c>
      <c r="F845" s="22">
        <v>10.59</v>
      </c>
      <c r="G845" s="22">
        <f>F845-'Estatística'!$D$6/'Estatística'!$D$10</f>
        <v>9.586980371</v>
      </c>
      <c r="H845" s="23">
        <v>45082.0</v>
      </c>
      <c r="I845" s="24" t="str">
        <f t="shared" si="1"/>
        <v>jun.</v>
      </c>
      <c r="O845" s="8"/>
    </row>
    <row r="846" ht="15.75" customHeight="1">
      <c r="A846" s="9">
        <v>76.0</v>
      </c>
      <c r="B846" s="9" t="s">
        <v>213</v>
      </c>
      <c r="C846" s="9" t="s">
        <v>214</v>
      </c>
      <c r="D846" s="10" t="s">
        <v>11</v>
      </c>
      <c r="E846" s="11" t="s">
        <v>39</v>
      </c>
      <c r="F846" s="12">
        <v>39.8</v>
      </c>
      <c r="G846" s="12">
        <f>F846-'Estatística'!$D$6/'Estatística'!$D$10</f>
        <v>38.79698037</v>
      </c>
      <c r="H846" s="13">
        <v>45082.0</v>
      </c>
      <c r="I846" s="14" t="str">
        <f t="shared" si="1"/>
        <v>jun.</v>
      </c>
      <c r="O846" s="8"/>
    </row>
    <row r="847" ht="15.75" customHeight="1">
      <c r="A847" s="19">
        <v>17.0</v>
      </c>
      <c r="B847" s="19" t="s">
        <v>200</v>
      </c>
      <c r="C847" s="19" t="s">
        <v>201</v>
      </c>
      <c r="D847" s="20" t="s">
        <v>11</v>
      </c>
      <c r="E847" s="21" t="s">
        <v>97</v>
      </c>
      <c r="F847" s="22">
        <v>2.71</v>
      </c>
      <c r="G847" s="22">
        <f>F847-'Estatística'!$D$6/'Estatística'!$D$10</f>
        <v>1.706980371</v>
      </c>
      <c r="H847" s="23">
        <v>45082.0</v>
      </c>
      <c r="I847" s="24" t="str">
        <f t="shared" si="1"/>
        <v>jun.</v>
      </c>
      <c r="O847" s="8"/>
    </row>
    <row r="848" ht="15.75" customHeight="1">
      <c r="A848" s="9">
        <v>27.0</v>
      </c>
      <c r="B848" s="9" t="s">
        <v>173</v>
      </c>
      <c r="C848" s="9" t="s">
        <v>174</v>
      </c>
      <c r="D848" s="10" t="s">
        <v>30</v>
      </c>
      <c r="E848" s="11" t="s">
        <v>39</v>
      </c>
      <c r="F848" s="12">
        <v>18.64</v>
      </c>
      <c r="G848" s="12">
        <f>F848-'Estatística'!$D$6/'Estatística'!$D$10</f>
        <v>17.63698037</v>
      </c>
      <c r="H848" s="13">
        <v>45083.0</v>
      </c>
      <c r="I848" s="14" t="str">
        <f t="shared" si="1"/>
        <v>jun.</v>
      </c>
      <c r="O848" s="8"/>
    </row>
    <row r="849" ht="15.75" customHeight="1">
      <c r="A849" s="19">
        <v>92.0</v>
      </c>
      <c r="B849" s="19" t="s">
        <v>112</v>
      </c>
      <c r="C849" s="19" t="s">
        <v>197</v>
      </c>
      <c r="D849" s="20" t="s">
        <v>11</v>
      </c>
      <c r="E849" s="21" t="s">
        <v>97</v>
      </c>
      <c r="F849" s="22">
        <v>4.61</v>
      </c>
      <c r="G849" s="22">
        <f>F849-'Estatística'!$D$6/'Estatística'!$D$10</f>
        <v>3.606980371</v>
      </c>
      <c r="H849" s="23">
        <v>45083.0</v>
      </c>
      <c r="I849" s="24" t="str">
        <f t="shared" si="1"/>
        <v>jun.</v>
      </c>
      <c r="O849" s="8"/>
    </row>
    <row r="850" ht="15.75" customHeight="1">
      <c r="A850" s="9">
        <v>84.0</v>
      </c>
      <c r="B850" s="9" t="s">
        <v>141</v>
      </c>
      <c r="C850" s="9" t="s">
        <v>142</v>
      </c>
      <c r="D850" s="10" t="s">
        <v>11</v>
      </c>
      <c r="E850" s="11" t="s">
        <v>35</v>
      </c>
      <c r="F850" s="12">
        <v>21.47</v>
      </c>
      <c r="G850" s="12">
        <f>F850-'Estatística'!$D$6/'Estatística'!$D$10</f>
        <v>20.46698037</v>
      </c>
      <c r="H850" s="13">
        <v>45083.0</v>
      </c>
      <c r="I850" s="14" t="str">
        <f t="shared" si="1"/>
        <v>jun.</v>
      </c>
      <c r="O850" s="8"/>
    </row>
    <row r="851" ht="15.75" customHeight="1">
      <c r="A851" s="19">
        <v>29.0</v>
      </c>
      <c r="B851" s="19" t="s">
        <v>122</v>
      </c>
      <c r="C851" s="19" t="s">
        <v>123</v>
      </c>
      <c r="D851" s="20" t="s">
        <v>30</v>
      </c>
      <c r="E851" s="21" t="s">
        <v>85</v>
      </c>
      <c r="F851" s="22">
        <v>15.51</v>
      </c>
      <c r="G851" s="22">
        <f>F851-'Estatística'!$D$6/'Estatística'!$D$10</f>
        <v>14.50698037</v>
      </c>
      <c r="H851" s="23">
        <v>45083.0</v>
      </c>
      <c r="I851" s="24" t="str">
        <f t="shared" si="1"/>
        <v>jun.</v>
      </c>
      <c r="O851" s="8"/>
    </row>
    <row r="852" ht="15.75" customHeight="1">
      <c r="A852" s="9">
        <v>62.0</v>
      </c>
      <c r="B852" s="9" t="s">
        <v>156</v>
      </c>
      <c r="C852" s="9" t="s">
        <v>157</v>
      </c>
      <c r="D852" s="10" t="s">
        <v>11</v>
      </c>
      <c r="E852" s="11" t="s">
        <v>12</v>
      </c>
      <c r="F852" s="12">
        <v>10.75</v>
      </c>
      <c r="G852" s="12">
        <f>F852-'Estatística'!$D$6/'Estatística'!$D$10</f>
        <v>9.746980371</v>
      </c>
      <c r="H852" s="13">
        <v>45083.0</v>
      </c>
      <c r="I852" s="14" t="str">
        <f t="shared" si="1"/>
        <v>jun.</v>
      </c>
      <c r="O852" s="8"/>
    </row>
    <row r="853" ht="15.75" customHeight="1">
      <c r="A853" s="19">
        <v>88.0</v>
      </c>
      <c r="B853" s="19" t="s">
        <v>200</v>
      </c>
      <c r="C853" s="19" t="s">
        <v>206</v>
      </c>
      <c r="D853" s="20" t="s">
        <v>30</v>
      </c>
      <c r="E853" s="21" t="s">
        <v>31</v>
      </c>
      <c r="F853" s="22">
        <v>51.35</v>
      </c>
      <c r="G853" s="22">
        <f>F853-'Estatística'!$D$6/'Estatística'!$D$10</f>
        <v>50.34698037</v>
      </c>
      <c r="H853" s="23">
        <v>45083.0</v>
      </c>
      <c r="I853" s="24" t="str">
        <f t="shared" si="1"/>
        <v>jun.</v>
      </c>
      <c r="O853" s="8"/>
    </row>
    <row r="854" ht="15.75" customHeight="1">
      <c r="A854" s="9">
        <v>89.0</v>
      </c>
      <c r="B854" s="9" t="s">
        <v>135</v>
      </c>
      <c r="C854" s="9" t="s">
        <v>136</v>
      </c>
      <c r="D854" s="10" t="s">
        <v>30</v>
      </c>
      <c r="E854" s="11" t="s">
        <v>35</v>
      </c>
      <c r="F854" s="12">
        <v>16.57</v>
      </c>
      <c r="G854" s="12">
        <f>F854-'Estatística'!$D$6/'Estatística'!$D$10</f>
        <v>15.56698037</v>
      </c>
      <c r="H854" s="13">
        <v>45084.0</v>
      </c>
      <c r="I854" s="14" t="str">
        <f t="shared" si="1"/>
        <v>jun.</v>
      </c>
      <c r="O854" s="8"/>
    </row>
    <row r="855" ht="15.75" customHeight="1">
      <c r="A855" s="19">
        <v>39.0</v>
      </c>
      <c r="B855" s="19" t="s">
        <v>89</v>
      </c>
      <c r="C855" s="19" t="s">
        <v>90</v>
      </c>
      <c r="D855" s="20" t="s">
        <v>11</v>
      </c>
      <c r="E855" s="21" t="s">
        <v>91</v>
      </c>
      <c r="F855" s="22">
        <v>2.85</v>
      </c>
      <c r="G855" s="22">
        <f>F855-'Estatística'!$D$6/'Estatística'!$D$10</f>
        <v>1.846980371</v>
      </c>
      <c r="H855" s="23">
        <v>45084.0</v>
      </c>
      <c r="I855" s="24" t="str">
        <f t="shared" si="1"/>
        <v>jun.</v>
      </c>
      <c r="O855" s="8"/>
    </row>
    <row r="856" ht="15.75" customHeight="1">
      <c r="A856" s="9">
        <v>21.0</v>
      </c>
      <c r="B856" s="9" t="s">
        <v>186</v>
      </c>
      <c r="C856" s="9" t="s">
        <v>187</v>
      </c>
      <c r="D856" s="10" t="s">
        <v>30</v>
      </c>
      <c r="E856" s="11" t="s">
        <v>46</v>
      </c>
      <c r="F856" s="12">
        <v>12.5</v>
      </c>
      <c r="G856" s="12">
        <f>F856-'Estatística'!$D$6/'Estatística'!$D$10</f>
        <v>11.49698037</v>
      </c>
      <c r="H856" s="13">
        <v>45084.0</v>
      </c>
      <c r="I856" s="14" t="str">
        <f t="shared" si="1"/>
        <v>jun.</v>
      </c>
      <c r="O856" s="8"/>
    </row>
    <row r="857" ht="15.75" customHeight="1">
      <c r="A857" s="19">
        <v>73.0</v>
      </c>
      <c r="B857" s="19" t="s">
        <v>223</v>
      </c>
      <c r="C857" s="19" t="s">
        <v>224</v>
      </c>
      <c r="D857" s="20" t="s">
        <v>30</v>
      </c>
      <c r="E857" s="21" t="s">
        <v>56</v>
      </c>
      <c r="F857" s="22">
        <v>68.76</v>
      </c>
      <c r="G857" s="22">
        <f>F857-'Estatística'!$D$6/'Estatística'!$D$10</f>
        <v>67.75698037</v>
      </c>
      <c r="H857" s="23">
        <v>45084.0</v>
      </c>
      <c r="I857" s="24" t="str">
        <f t="shared" si="1"/>
        <v>jun.</v>
      </c>
      <c r="O857" s="8"/>
    </row>
    <row r="858" ht="15.75" customHeight="1">
      <c r="A858" s="9">
        <v>25.0</v>
      </c>
      <c r="B858" s="9" t="s">
        <v>154</v>
      </c>
      <c r="C858" s="9" t="s">
        <v>155</v>
      </c>
      <c r="D858" s="10" t="s">
        <v>30</v>
      </c>
      <c r="E858" s="11" t="s">
        <v>31</v>
      </c>
      <c r="F858" s="12">
        <v>47.73</v>
      </c>
      <c r="G858" s="12">
        <f>F858-'Estatística'!$D$6/'Estatística'!$D$10</f>
        <v>46.72698037</v>
      </c>
      <c r="H858" s="13">
        <v>45084.0</v>
      </c>
      <c r="I858" s="14" t="str">
        <f t="shared" si="1"/>
        <v>jun.</v>
      </c>
      <c r="O858" s="8"/>
    </row>
    <row r="859" ht="15.75" customHeight="1">
      <c r="A859" s="19">
        <v>56.0</v>
      </c>
      <c r="B859" s="19" t="s">
        <v>127</v>
      </c>
      <c r="C859" s="19" t="s">
        <v>128</v>
      </c>
      <c r="D859" s="20" t="s">
        <v>11</v>
      </c>
      <c r="E859" s="21" t="s">
        <v>46</v>
      </c>
      <c r="F859" s="22">
        <v>12.05</v>
      </c>
      <c r="G859" s="22">
        <f>F859-'Estatística'!$D$6/'Estatística'!$D$10</f>
        <v>11.04698037</v>
      </c>
      <c r="H859" s="23">
        <v>45084.0</v>
      </c>
      <c r="I859" s="24" t="str">
        <f t="shared" si="1"/>
        <v>jun.</v>
      </c>
      <c r="O859" s="8"/>
    </row>
    <row r="860" ht="15.75" customHeight="1">
      <c r="A860" s="9">
        <v>70.0</v>
      </c>
      <c r="B860" s="9" t="s">
        <v>152</v>
      </c>
      <c r="C860" s="9" t="s">
        <v>153</v>
      </c>
      <c r="D860" s="10" t="s">
        <v>11</v>
      </c>
      <c r="E860" s="11" t="s">
        <v>12</v>
      </c>
      <c r="F860" s="12">
        <v>10.43</v>
      </c>
      <c r="G860" s="12">
        <f>F860-'Estatística'!$D$6/'Estatística'!$D$10</f>
        <v>9.426980371</v>
      </c>
      <c r="H860" s="13">
        <v>45085.0</v>
      </c>
      <c r="I860" s="14" t="str">
        <f t="shared" si="1"/>
        <v>jun.</v>
      </c>
      <c r="O860" s="8"/>
    </row>
    <row r="861" ht="15.75" customHeight="1">
      <c r="A861" s="19">
        <v>84.0</v>
      </c>
      <c r="B861" s="19" t="s">
        <v>141</v>
      </c>
      <c r="C861" s="19" t="s">
        <v>142</v>
      </c>
      <c r="D861" s="20" t="s">
        <v>30</v>
      </c>
      <c r="E861" s="21" t="s">
        <v>35</v>
      </c>
      <c r="F861" s="22">
        <v>14.66</v>
      </c>
      <c r="G861" s="22">
        <f>F861-'Estatística'!$D$6/'Estatística'!$D$10</f>
        <v>13.65698037</v>
      </c>
      <c r="H861" s="23">
        <v>45085.0</v>
      </c>
      <c r="I861" s="24" t="str">
        <f t="shared" si="1"/>
        <v>jun.</v>
      </c>
      <c r="O861" s="8"/>
    </row>
    <row r="862" ht="15.75" customHeight="1">
      <c r="A862" s="9">
        <v>62.0</v>
      </c>
      <c r="B862" s="9" t="s">
        <v>156</v>
      </c>
      <c r="C862" s="9" t="s">
        <v>157</v>
      </c>
      <c r="D862" s="10" t="s">
        <v>11</v>
      </c>
      <c r="E862" s="11" t="s">
        <v>46</v>
      </c>
      <c r="F862" s="12">
        <v>12.21</v>
      </c>
      <c r="G862" s="12">
        <f>F862-'Estatística'!$D$6/'Estatística'!$D$10</f>
        <v>11.20698037</v>
      </c>
      <c r="H862" s="13">
        <v>45085.0</v>
      </c>
      <c r="I862" s="14" t="str">
        <f t="shared" si="1"/>
        <v>jun.</v>
      </c>
      <c r="O862" s="8"/>
    </row>
    <row r="863" ht="15.75" customHeight="1">
      <c r="A863" s="19">
        <v>97.0</v>
      </c>
      <c r="B863" s="19" t="s">
        <v>69</v>
      </c>
      <c r="C863" s="19" t="s">
        <v>70</v>
      </c>
      <c r="D863" s="20" t="s">
        <v>11</v>
      </c>
      <c r="E863" s="21" t="s">
        <v>82</v>
      </c>
      <c r="F863" s="22">
        <v>12.1</v>
      </c>
      <c r="G863" s="22">
        <f>F863-'Estatística'!$D$6/'Estatística'!$D$10</f>
        <v>11.09698037</v>
      </c>
      <c r="H863" s="23">
        <v>45085.0</v>
      </c>
      <c r="I863" s="24" t="str">
        <f t="shared" si="1"/>
        <v>jun.</v>
      </c>
      <c r="O863" s="8"/>
    </row>
    <row r="864" ht="15.75" customHeight="1">
      <c r="A864" s="9">
        <v>35.0</v>
      </c>
      <c r="B864" s="9" t="s">
        <v>125</v>
      </c>
      <c r="C864" s="9" t="s">
        <v>126</v>
      </c>
      <c r="D864" s="10" t="s">
        <v>30</v>
      </c>
      <c r="E864" s="11" t="s">
        <v>91</v>
      </c>
      <c r="F864" s="12">
        <v>3.71</v>
      </c>
      <c r="G864" s="12">
        <f>F864-'Estatística'!$D$6/'Estatística'!$D$10</f>
        <v>2.706980371</v>
      </c>
      <c r="H864" s="13">
        <v>45085.0</v>
      </c>
      <c r="I864" s="14" t="str">
        <f t="shared" si="1"/>
        <v>jun.</v>
      </c>
      <c r="O864" s="8"/>
    </row>
    <row r="865" ht="15.75" customHeight="1">
      <c r="A865" s="19">
        <v>23.0</v>
      </c>
      <c r="B865" s="19" t="s">
        <v>235</v>
      </c>
      <c r="C865" s="19" t="s">
        <v>236</v>
      </c>
      <c r="D865" s="20" t="s">
        <v>30</v>
      </c>
      <c r="E865" s="21" t="s">
        <v>46</v>
      </c>
      <c r="F865" s="22">
        <v>13.6</v>
      </c>
      <c r="G865" s="22">
        <f>F865-'Estatística'!$D$6/'Estatística'!$D$10</f>
        <v>12.59698037</v>
      </c>
      <c r="H865" s="23">
        <v>45085.0</v>
      </c>
      <c r="I865" s="24" t="str">
        <f t="shared" si="1"/>
        <v>jun.</v>
      </c>
      <c r="O865" s="8"/>
    </row>
    <row r="866" ht="15.75" customHeight="1">
      <c r="A866" s="9">
        <v>66.0</v>
      </c>
      <c r="B866" s="9" t="s">
        <v>150</v>
      </c>
      <c r="C866" s="9" t="s">
        <v>158</v>
      </c>
      <c r="D866" s="10" t="s">
        <v>11</v>
      </c>
      <c r="E866" s="11" t="s">
        <v>35</v>
      </c>
      <c r="F866" s="12">
        <v>19.72</v>
      </c>
      <c r="G866" s="12">
        <f>F866-'Estatística'!$D$6/'Estatística'!$D$10</f>
        <v>18.71698037</v>
      </c>
      <c r="H866" s="13">
        <v>45086.0</v>
      </c>
      <c r="I866" s="14" t="str">
        <f t="shared" si="1"/>
        <v>jun.</v>
      </c>
      <c r="O866" s="8"/>
    </row>
    <row r="867" ht="15.75" customHeight="1">
      <c r="A867" s="19">
        <v>67.0</v>
      </c>
      <c r="B867" s="19" t="s">
        <v>204</v>
      </c>
      <c r="C867" s="19" t="s">
        <v>205</v>
      </c>
      <c r="D867" s="20" t="s">
        <v>11</v>
      </c>
      <c r="E867" s="21" t="s">
        <v>46</v>
      </c>
      <c r="F867" s="22">
        <v>15.08</v>
      </c>
      <c r="G867" s="22">
        <f>F867-'Estatística'!$D$6/'Estatística'!$D$10</f>
        <v>14.07698037</v>
      </c>
      <c r="H867" s="23">
        <v>45086.0</v>
      </c>
      <c r="I867" s="24" t="str">
        <f t="shared" si="1"/>
        <v>jun.</v>
      </c>
      <c r="O867" s="8"/>
    </row>
    <row r="868" ht="15.75" customHeight="1">
      <c r="A868" s="9">
        <v>28.0</v>
      </c>
      <c r="B868" s="9" t="s">
        <v>77</v>
      </c>
      <c r="C868" s="9" t="s">
        <v>78</v>
      </c>
      <c r="D868" s="10" t="s">
        <v>30</v>
      </c>
      <c r="E868" s="11" t="s">
        <v>72</v>
      </c>
      <c r="F868" s="12">
        <v>14.95</v>
      </c>
      <c r="G868" s="12">
        <f>F868-'Estatística'!$D$6/'Estatística'!$D$10</f>
        <v>13.94698037</v>
      </c>
      <c r="H868" s="13">
        <v>45086.0</v>
      </c>
      <c r="I868" s="14" t="str">
        <f t="shared" si="1"/>
        <v>jun.</v>
      </c>
      <c r="O868" s="8"/>
    </row>
    <row r="869" ht="15.75" customHeight="1">
      <c r="A869" s="19">
        <v>38.0</v>
      </c>
      <c r="B869" s="19" t="s">
        <v>116</v>
      </c>
      <c r="C869" s="19" t="s">
        <v>117</v>
      </c>
      <c r="D869" s="20" t="s">
        <v>30</v>
      </c>
      <c r="E869" s="21" t="s">
        <v>88</v>
      </c>
      <c r="F869" s="22">
        <v>40.5</v>
      </c>
      <c r="G869" s="22">
        <f>F869-'Estatística'!$D$6/'Estatística'!$D$10</f>
        <v>39.49698037</v>
      </c>
      <c r="H869" s="23">
        <v>45086.0</v>
      </c>
      <c r="I869" s="24" t="str">
        <f t="shared" si="1"/>
        <v>jun.</v>
      </c>
      <c r="O869" s="8"/>
    </row>
    <row r="870" ht="15.75" customHeight="1">
      <c r="A870" s="9">
        <v>30.0</v>
      </c>
      <c r="B870" s="9" t="s">
        <v>9</v>
      </c>
      <c r="C870" s="9" t="s">
        <v>10</v>
      </c>
      <c r="D870" s="10" t="s">
        <v>11</v>
      </c>
      <c r="E870" s="11" t="s">
        <v>91</v>
      </c>
      <c r="F870" s="12">
        <v>3.33</v>
      </c>
      <c r="G870" s="12">
        <f>F870-'Estatística'!$D$6/'Estatística'!$D$10</f>
        <v>2.326980371</v>
      </c>
      <c r="H870" s="13">
        <v>45086.0</v>
      </c>
      <c r="I870" s="14" t="str">
        <f t="shared" si="1"/>
        <v>jun.</v>
      </c>
      <c r="O870" s="8"/>
    </row>
    <row r="871" ht="15.75" customHeight="1">
      <c r="A871" s="19">
        <v>96.0</v>
      </c>
      <c r="B871" s="19" t="s">
        <v>163</v>
      </c>
      <c r="C871" s="19" t="s">
        <v>164</v>
      </c>
      <c r="D871" s="20" t="s">
        <v>11</v>
      </c>
      <c r="E871" s="21" t="s">
        <v>12</v>
      </c>
      <c r="F871" s="22">
        <v>10.54</v>
      </c>
      <c r="G871" s="22">
        <f>F871-'Estatística'!$D$6/'Estatística'!$D$10</f>
        <v>9.536980371</v>
      </c>
      <c r="H871" s="23">
        <v>45086.0</v>
      </c>
      <c r="I871" s="24" t="str">
        <f t="shared" si="1"/>
        <v>jun.</v>
      </c>
      <c r="O871" s="8"/>
    </row>
    <row r="872" ht="15.75" customHeight="1">
      <c r="A872" s="9">
        <v>96.0</v>
      </c>
      <c r="B872" s="9" t="s">
        <v>163</v>
      </c>
      <c r="C872" s="9" t="s">
        <v>164</v>
      </c>
      <c r="D872" s="10" t="s">
        <v>11</v>
      </c>
      <c r="E872" s="11" t="s">
        <v>68</v>
      </c>
      <c r="F872" s="12">
        <v>12.52</v>
      </c>
      <c r="G872" s="12">
        <f>F872-'Estatística'!$D$6/'Estatística'!$D$10</f>
        <v>11.51698037</v>
      </c>
      <c r="H872" s="13">
        <v>45087.0</v>
      </c>
      <c r="I872" s="14" t="str">
        <f t="shared" si="1"/>
        <v>jun.</v>
      </c>
      <c r="O872" s="8"/>
    </row>
    <row r="873" ht="15.75" customHeight="1">
      <c r="A873" s="19">
        <v>8.0</v>
      </c>
      <c r="B873" s="19" t="s">
        <v>108</v>
      </c>
      <c r="C873" s="19" t="s">
        <v>109</v>
      </c>
      <c r="D873" s="20" t="s">
        <v>11</v>
      </c>
      <c r="E873" s="21" t="s">
        <v>43</v>
      </c>
      <c r="F873" s="22">
        <v>16.63</v>
      </c>
      <c r="G873" s="22">
        <f>F873-'Estatística'!$D$6/'Estatística'!$D$10</f>
        <v>15.62698037</v>
      </c>
      <c r="H873" s="23">
        <v>45087.0</v>
      </c>
      <c r="I873" s="24" t="str">
        <f t="shared" si="1"/>
        <v>jun.</v>
      </c>
      <c r="O873" s="8"/>
    </row>
    <row r="874" ht="15.75" customHeight="1">
      <c r="A874" s="9">
        <v>32.0</v>
      </c>
      <c r="B874" s="9" t="s">
        <v>146</v>
      </c>
      <c r="C874" s="9" t="s">
        <v>147</v>
      </c>
      <c r="D874" s="10" t="s">
        <v>30</v>
      </c>
      <c r="E874" s="11" t="s">
        <v>43</v>
      </c>
      <c r="F874" s="12">
        <v>20.13</v>
      </c>
      <c r="G874" s="12">
        <f>F874-'Estatística'!$D$6/'Estatística'!$D$10</f>
        <v>19.12698037</v>
      </c>
      <c r="H874" s="13">
        <v>45087.0</v>
      </c>
      <c r="I874" s="14" t="str">
        <f t="shared" si="1"/>
        <v>jun.</v>
      </c>
      <c r="O874" s="8"/>
    </row>
    <row r="875" ht="15.75" customHeight="1">
      <c r="A875" s="19">
        <v>87.0</v>
      </c>
      <c r="B875" s="19" t="s">
        <v>243</v>
      </c>
      <c r="C875" s="19" t="s">
        <v>244</v>
      </c>
      <c r="D875" s="20" t="s">
        <v>11</v>
      </c>
      <c r="E875" s="21" t="s">
        <v>88</v>
      </c>
      <c r="F875" s="22">
        <v>37.94</v>
      </c>
      <c r="G875" s="22">
        <f>F875-'Estatística'!$D$6/'Estatística'!$D$10</f>
        <v>36.93698037</v>
      </c>
      <c r="H875" s="23">
        <v>45087.0</v>
      </c>
      <c r="I875" s="24" t="str">
        <f t="shared" si="1"/>
        <v>jun.</v>
      </c>
      <c r="O875" s="8"/>
    </row>
    <row r="876" ht="15.75" customHeight="1">
      <c r="A876" s="9">
        <v>35.0</v>
      </c>
      <c r="B876" s="9" t="s">
        <v>125</v>
      </c>
      <c r="C876" s="9" t="s">
        <v>126</v>
      </c>
      <c r="D876" s="10" t="s">
        <v>11</v>
      </c>
      <c r="E876" s="11" t="s">
        <v>43</v>
      </c>
      <c r="F876" s="12">
        <v>19.91</v>
      </c>
      <c r="G876" s="12">
        <f>F876-'Estatística'!$D$6/'Estatística'!$D$10</f>
        <v>18.90698037</v>
      </c>
      <c r="H876" s="13">
        <v>45087.0</v>
      </c>
      <c r="I876" s="14" t="str">
        <f t="shared" si="1"/>
        <v>jun.</v>
      </c>
      <c r="O876" s="8"/>
    </row>
    <row r="877" ht="15.75" customHeight="1">
      <c r="A877" s="19">
        <v>15.0</v>
      </c>
      <c r="B877" s="19" t="s">
        <v>58</v>
      </c>
      <c r="C877" s="19" t="s">
        <v>59</v>
      </c>
      <c r="D877" s="20" t="s">
        <v>30</v>
      </c>
      <c r="E877" s="21" t="s">
        <v>43</v>
      </c>
      <c r="F877" s="22">
        <v>18.64</v>
      </c>
      <c r="G877" s="22">
        <f>F877-'Estatística'!$D$6/'Estatística'!$D$10</f>
        <v>17.63698037</v>
      </c>
      <c r="H877" s="23">
        <v>45087.0</v>
      </c>
      <c r="I877" s="24" t="str">
        <f t="shared" si="1"/>
        <v>jun.</v>
      </c>
      <c r="O877" s="8"/>
    </row>
    <row r="878" ht="15.75" customHeight="1">
      <c r="A878" s="9">
        <v>13.0</v>
      </c>
      <c r="B878" s="9" t="s">
        <v>137</v>
      </c>
      <c r="C878" s="9" t="s">
        <v>138</v>
      </c>
      <c r="D878" s="10" t="s">
        <v>30</v>
      </c>
      <c r="E878" s="11" t="s">
        <v>52</v>
      </c>
      <c r="F878" s="12">
        <v>56.28</v>
      </c>
      <c r="G878" s="12">
        <f>F878-'Estatística'!$D$6/'Estatística'!$D$10</f>
        <v>55.27698037</v>
      </c>
      <c r="H878" s="13">
        <v>45087.0</v>
      </c>
      <c r="I878" s="14" t="str">
        <f t="shared" si="1"/>
        <v>jun.</v>
      </c>
      <c r="O878" s="8"/>
    </row>
    <row r="879" ht="15.75" customHeight="1">
      <c r="A879" s="19">
        <v>15.0</v>
      </c>
      <c r="B879" s="19" t="s">
        <v>58</v>
      </c>
      <c r="C879" s="19" t="s">
        <v>59</v>
      </c>
      <c r="D879" s="20" t="s">
        <v>11</v>
      </c>
      <c r="E879" s="21" t="s">
        <v>35</v>
      </c>
      <c r="F879" s="22">
        <v>14.77</v>
      </c>
      <c r="G879" s="22">
        <f>F879-'Estatística'!$D$6/'Estatística'!$D$10</f>
        <v>13.76698037</v>
      </c>
      <c r="H879" s="23">
        <v>45088.0</v>
      </c>
      <c r="I879" s="24" t="str">
        <f t="shared" si="1"/>
        <v>jun.</v>
      </c>
      <c r="O879" s="8"/>
    </row>
    <row r="880" ht="15.75" customHeight="1">
      <c r="A880" s="9">
        <v>36.0</v>
      </c>
      <c r="B880" s="9" t="s">
        <v>92</v>
      </c>
      <c r="C880" s="9" t="s">
        <v>93</v>
      </c>
      <c r="D880" s="10" t="s">
        <v>11</v>
      </c>
      <c r="E880" s="11" t="s">
        <v>43</v>
      </c>
      <c r="F880" s="12">
        <v>16.52</v>
      </c>
      <c r="G880" s="12">
        <f>F880-'Estatística'!$D$6/'Estatística'!$D$10</f>
        <v>15.51698037</v>
      </c>
      <c r="H880" s="13">
        <v>45088.0</v>
      </c>
      <c r="I880" s="14" t="str">
        <f t="shared" si="1"/>
        <v>jun.</v>
      </c>
      <c r="O880" s="8"/>
    </row>
    <row r="881" ht="15.75" customHeight="1">
      <c r="A881" s="19">
        <v>97.0</v>
      </c>
      <c r="B881" s="19" t="s">
        <v>69</v>
      </c>
      <c r="C881" s="19" t="s">
        <v>70</v>
      </c>
      <c r="D881" s="20" t="s">
        <v>11</v>
      </c>
      <c r="E881" s="21" t="s">
        <v>68</v>
      </c>
      <c r="F881" s="22">
        <v>7.47</v>
      </c>
      <c r="G881" s="22">
        <f>F881-'Estatística'!$D$6/'Estatística'!$D$10</f>
        <v>6.466980371</v>
      </c>
      <c r="H881" s="23">
        <v>45088.0</v>
      </c>
      <c r="I881" s="24" t="str">
        <f t="shared" si="1"/>
        <v>jun.</v>
      </c>
      <c r="O881" s="8"/>
    </row>
    <row r="882" ht="15.75" customHeight="1">
      <c r="A882" s="9">
        <v>17.0</v>
      </c>
      <c r="B882" s="9" t="s">
        <v>200</v>
      </c>
      <c r="C882" s="9" t="s">
        <v>201</v>
      </c>
      <c r="D882" s="10" t="s">
        <v>30</v>
      </c>
      <c r="E882" s="11" t="s">
        <v>97</v>
      </c>
      <c r="F882" s="12">
        <v>3.49</v>
      </c>
      <c r="G882" s="12">
        <f>F882-'Estatística'!$D$6/'Estatística'!$D$10</f>
        <v>2.486980371</v>
      </c>
      <c r="H882" s="13">
        <v>45088.0</v>
      </c>
      <c r="I882" s="14" t="str">
        <f t="shared" si="1"/>
        <v>jun.</v>
      </c>
      <c r="O882" s="8"/>
    </row>
    <row r="883" ht="15.75" customHeight="1">
      <c r="A883" s="19">
        <v>37.0</v>
      </c>
      <c r="B883" s="19" t="s">
        <v>245</v>
      </c>
      <c r="C883" s="19" t="s">
        <v>246</v>
      </c>
      <c r="D883" s="20" t="s">
        <v>30</v>
      </c>
      <c r="E883" s="21" t="s">
        <v>56</v>
      </c>
      <c r="F883" s="22">
        <v>62.74</v>
      </c>
      <c r="G883" s="22">
        <f>F883-'Estatística'!$D$6/'Estatística'!$D$10</f>
        <v>61.73698037</v>
      </c>
      <c r="H883" s="23">
        <v>45088.0</v>
      </c>
      <c r="I883" s="24" t="str">
        <f t="shared" si="1"/>
        <v>jun.</v>
      </c>
      <c r="O883" s="8"/>
    </row>
    <row r="884" ht="15.75" customHeight="1">
      <c r="A884" s="9">
        <v>81.0</v>
      </c>
      <c r="B884" s="9" t="s">
        <v>54</v>
      </c>
      <c r="C884" s="9" t="s">
        <v>55</v>
      </c>
      <c r="D884" s="10" t="s">
        <v>30</v>
      </c>
      <c r="E884" s="11" t="s">
        <v>39</v>
      </c>
      <c r="F884" s="12">
        <v>38.41</v>
      </c>
      <c r="G884" s="12">
        <f>F884-'Estatística'!$D$6/'Estatística'!$D$10</f>
        <v>37.40698037</v>
      </c>
      <c r="H884" s="13">
        <v>45089.0</v>
      </c>
      <c r="I884" s="14" t="str">
        <f t="shared" si="1"/>
        <v>jun.</v>
      </c>
      <c r="O884" s="8"/>
    </row>
    <row r="885" ht="15.75" customHeight="1">
      <c r="A885" s="19">
        <v>92.0</v>
      </c>
      <c r="B885" s="19" t="s">
        <v>112</v>
      </c>
      <c r="C885" s="19" t="s">
        <v>197</v>
      </c>
      <c r="D885" s="20" t="s">
        <v>30</v>
      </c>
      <c r="E885" s="21" t="s">
        <v>72</v>
      </c>
      <c r="F885" s="22">
        <v>21.37</v>
      </c>
      <c r="G885" s="22">
        <f>F885-'Estatística'!$D$6/'Estatística'!$D$10</f>
        <v>20.36698037</v>
      </c>
      <c r="H885" s="23">
        <v>45089.0</v>
      </c>
      <c r="I885" s="24" t="str">
        <f t="shared" si="1"/>
        <v>jun.</v>
      </c>
      <c r="O885" s="8"/>
    </row>
    <row r="886" ht="15.75" customHeight="1">
      <c r="A886" s="9">
        <v>71.0</v>
      </c>
      <c r="B886" s="9" t="s">
        <v>150</v>
      </c>
      <c r="C886" s="9" t="s">
        <v>151</v>
      </c>
      <c r="D886" s="10" t="s">
        <v>11</v>
      </c>
      <c r="E886" s="11" t="s">
        <v>56</v>
      </c>
      <c r="F886" s="12">
        <v>60.02</v>
      </c>
      <c r="G886" s="12">
        <f>F886-'Estatística'!$D$6/'Estatística'!$D$10</f>
        <v>59.01698037</v>
      </c>
      <c r="H886" s="13">
        <v>45089.0</v>
      </c>
      <c r="I886" s="14" t="str">
        <f t="shared" si="1"/>
        <v>jun.</v>
      </c>
      <c r="O886" s="8"/>
    </row>
    <row r="887" ht="15.75" customHeight="1">
      <c r="A887" s="19">
        <v>67.0</v>
      </c>
      <c r="B887" s="19" t="s">
        <v>204</v>
      </c>
      <c r="C887" s="19" t="s">
        <v>205</v>
      </c>
      <c r="D887" s="20" t="s">
        <v>11</v>
      </c>
      <c r="E887" s="21" t="s">
        <v>46</v>
      </c>
      <c r="F887" s="22">
        <v>13.95</v>
      </c>
      <c r="G887" s="22">
        <f>F887-'Estatística'!$D$6/'Estatística'!$D$10</f>
        <v>12.94698037</v>
      </c>
      <c r="H887" s="23">
        <v>45089.0</v>
      </c>
      <c r="I887" s="24" t="str">
        <f t="shared" si="1"/>
        <v>jun.</v>
      </c>
      <c r="O887" s="8"/>
    </row>
    <row r="888" ht="15.75" customHeight="1">
      <c r="A888" s="9">
        <v>11.0</v>
      </c>
      <c r="B888" s="9" t="s">
        <v>227</v>
      </c>
      <c r="C888" s="9" t="s">
        <v>228</v>
      </c>
      <c r="D888" s="10" t="s">
        <v>30</v>
      </c>
      <c r="E888" s="11" t="s">
        <v>85</v>
      </c>
      <c r="F888" s="12">
        <v>12.52</v>
      </c>
      <c r="G888" s="12">
        <f>F888-'Estatística'!$D$6/'Estatística'!$D$10</f>
        <v>11.51698037</v>
      </c>
      <c r="H888" s="13">
        <v>45089.0</v>
      </c>
      <c r="I888" s="14" t="str">
        <f t="shared" si="1"/>
        <v>jun.</v>
      </c>
      <c r="O888" s="8"/>
    </row>
    <row r="889" ht="15.75" customHeight="1">
      <c r="A889" s="19">
        <v>8.0</v>
      </c>
      <c r="B889" s="19" t="s">
        <v>108</v>
      </c>
      <c r="C889" s="19" t="s">
        <v>109</v>
      </c>
      <c r="D889" s="20" t="s">
        <v>11</v>
      </c>
      <c r="E889" s="21" t="s">
        <v>76</v>
      </c>
      <c r="F889" s="22">
        <v>11.18</v>
      </c>
      <c r="G889" s="22">
        <f>F889-'Estatística'!$D$6/'Estatística'!$D$10</f>
        <v>10.17698037</v>
      </c>
      <c r="H889" s="23">
        <v>45089.0</v>
      </c>
      <c r="I889" s="24" t="str">
        <f t="shared" si="1"/>
        <v>jun.</v>
      </c>
      <c r="O889" s="8"/>
    </row>
    <row r="890" ht="15.75" customHeight="1">
      <c r="A890" s="9">
        <v>66.0</v>
      </c>
      <c r="B890" s="9" t="s">
        <v>150</v>
      </c>
      <c r="C890" s="9" t="s">
        <v>158</v>
      </c>
      <c r="D890" s="10" t="s">
        <v>11</v>
      </c>
      <c r="E890" s="11" t="s">
        <v>52</v>
      </c>
      <c r="F890" s="12">
        <v>66.8</v>
      </c>
      <c r="G890" s="12">
        <f>F890-'Estatística'!$D$6/'Estatística'!$D$10</f>
        <v>65.79698037</v>
      </c>
      <c r="H890" s="13">
        <v>45089.0</v>
      </c>
      <c r="I890" s="14" t="str">
        <f t="shared" si="1"/>
        <v>jun.</v>
      </c>
      <c r="O890" s="8"/>
    </row>
    <row r="891" ht="15.75" customHeight="1">
      <c r="A891" s="19">
        <v>76.0</v>
      </c>
      <c r="B891" s="19" t="s">
        <v>213</v>
      </c>
      <c r="C891" s="19" t="s">
        <v>214</v>
      </c>
      <c r="D891" s="20" t="s">
        <v>11</v>
      </c>
      <c r="E891" s="21" t="s">
        <v>68</v>
      </c>
      <c r="F891" s="22">
        <v>11.78</v>
      </c>
      <c r="G891" s="22">
        <f>F891-'Estatística'!$D$6/'Estatística'!$D$10</f>
        <v>10.77698037</v>
      </c>
      <c r="H891" s="23">
        <v>45090.0</v>
      </c>
      <c r="I891" s="24" t="str">
        <f t="shared" si="1"/>
        <v>jun.</v>
      </c>
      <c r="O891" s="8"/>
    </row>
    <row r="892" ht="15.75" customHeight="1">
      <c r="A892" s="9">
        <v>4.0</v>
      </c>
      <c r="B892" s="9" t="s">
        <v>118</v>
      </c>
      <c r="C892" s="9" t="s">
        <v>119</v>
      </c>
      <c r="D892" s="10" t="s">
        <v>11</v>
      </c>
      <c r="E892" s="11" t="s">
        <v>43</v>
      </c>
      <c r="F892" s="12">
        <v>18.52</v>
      </c>
      <c r="G892" s="12">
        <f>F892-'Estatística'!$D$6/'Estatística'!$D$10</f>
        <v>17.51698037</v>
      </c>
      <c r="H892" s="13">
        <v>45090.0</v>
      </c>
      <c r="I892" s="14" t="str">
        <f t="shared" si="1"/>
        <v>jun.</v>
      </c>
      <c r="O892" s="8"/>
    </row>
    <row r="893" ht="15.75" customHeight="1">
      <c r="A893" s="19">
        <v>19.0</v>
      </c>
      <c r="B893" s="19" t="s">
        <v>41</v>
      </c>
      <c r="C893" s="19" t="s">
        <v>193</v>
      </c>
      <c r="D893" s="20" t="s">
        <v>11</v>
      </c>
      <c r="E893" s="21" t="s">
        <v>76</v>
      </c>
      <c r="F893" s="22">
        <v>11.63</v>
      </c>
      <c r="G893" s="22">
        <f>F893-'Estatística'!$D$6/'Estatística'!$D$10</f>
        <v>10.62698037</v>
      </c>
      <c r="H893" s="23">
        <v>45090.0</v>
      </c>
      <c r="I893" s="24" t="str">
        <f t="shared" si="1"/>
        <v>jun.</v>
      </c>
      <c r="O893" s="8"/>
    </row>
    <row r="894" ht="15.75" customHeight="1">
      <c r="A894" s="9">
        <v>93.0</v>
      </c>
      <c r="B894" s="9" t="s">
        <v>129</v>
      </c>
      <c r="C894" s="9" t="s">
        <v>130</v>
      </c>
      <c r="D894" s="10" t="s">
        <v>11</v>
      </c>
      <c r="E894" s="11" t="s">
        <v>82</v>
      </c>
      <c r="F894" s="12">
        <v>12.33</v>
      </c>
      <c r="G894" s="12">
        <f>F894-'Estatística'!$D$6/'Estatística'!$D$10</f>
        <v>11.32698037</v>
      </c>
      <c r="H894" s="13">
        <v>45090.0</v>
      </c>
      <c r="I894" s="14" t="str">
        <f t="shared" si="1"/>
        <v>jun.</v>
      </c>
      <c r="O894" s="8"/>
    </row>
    <row r="895" ht="15.75" customHeight="1">
      <c r="A895" s="19">
        <v>64.0</v>
      </c>
      <c r="B895" s="19" t="s">
        <v>159</v>
      </c>
      <c r="C895" s="19" t="s">
        <v>160</v>
      </c>
      <c r="D895" s="20" t="s">
        <v>11</v>
      </c>
      <c r="E895" s="21" t="s">
        <v>72</v>
      </c>
      <c r="F895" s="22">
        <v>19.1</v>
      </c>
      <c r="G895" s="22">
        <f>F895-'Estatística'!$D$6/'Estatística'!$D$10</f>
        <v>18.09698037</v>
      </c>
      <c r="H895" s="23">
        <v>45091.0</v>
      </c>
      <c r="I895" s="24" t="str">
        <f t="shared" si="1"/>
        <v>jun.</v>
      </c>
      <c r="O895" s="8"/>
    </row>
    <row r="896" ht="15.75" customHeight="1">
      <c r="A896" s="9">
        <v>53.0</v>
      </c>
      <c r="B896" s="9" t="s">
        <v>241</v>
      </c>
      <c r="C896" s="9" t="s">
        <v>242</v>
      </c>
      <c r="D896" s="10" t="s">
        <v>11</v>
      </c>
      <c r="E896" s="11" t="s">
        <v>39</v>
      </c>
      <c r="F896" s="12">
        <v>33.33</v>
      </c>
      <c r="G896" s="12">
        <f>F896-'Estatística'!$D$6/'Estatística'!$D$10</f>
        <v>32.32698037</v>
      </c>
      <c r="H896" s="13">
        <v>45091.0</v>
      </c>
      <c r="I896" s="14" t="str">
        <f t="shared" si="1"/>
        <v>jun.</v>
      </c>
      <c r="O896" s="8"/>
    </row>
    <row r="897" ht="15.75" customHeight="1">
      <c r="A897" s="19">
        <v>54.0</v>
      </c>
      <c r="B897" s="19" t="s">
        <v>86</v>
      </c>
      <c r="C897" s="19" t="s">
        <v>87</v>
      </c>
      <c r="D897" s="20" t="s">
        <v>11</v>
      </c>
      <c r="E897" s="21" t="s">
        <v>46</v>
      </c>
      <c r="F897" s="22">
        <v>14.8</v>
      </c>
      <c r="G897" s="22">
        <f>F897-'Estatística'!$D$6/'Estatística'!$D$10</f>
        <v>13.79698037</v>
      </c>
      <c r="H897" s="23">
        <v>45091.0</v>
      </c>
      <c r="I897" s="24" t="str">
        <f t="shared" si="1"/>
        <v>jun.</v>
      </c>
      <c r="O897" s="8"/>
    </row>
    <row r="898" ht="15.75" customHeight="1">
      <c r="A898" s="9">
        <v>65.0</v>
      </c>
      <c r="B898" s="9" t="s">
        <v>209</v>
      </c>
      <c r="C898" s="9" t="s">
        <v>210</v>
      </c>
      <c r="D898" s="10" t="s">
        <v>11</v>
      </c>
      <c r="E898" s="11" t="s">
        <v>50</v>
      </c>
      <c r="F898" s="12">
        <v>22.97</v>
      </c>
      <c r="G898" s="12">
        <f>F898-'Estatística'!$D$6/'Estatística'!$D$10</f>
        <v>21.96698037</v>
      </c>
      <c r="H898" s="13">
        <v>45091.0</v>
      </c>
      <c r="I898" s="14" t="str">
        <f t="shared" si="1"/>
        <v>jun.</v>
      </c>
      <c r="O898" s="8"/>
    </row>
    <row r="899" ht="15.75" customHeight="1">
      <c r="A899" s="19">
        <v>58.0</v>
      </c>
      <c r="B899" s="19" t="s">
        <v>165</v>
      </c>
      <c r="C899" s="19" t="s">
        <v>166</v>
      </c>
      <c r="D899" s="20" t="s">
        <v>11</v>
      </c>
      <c r="E899" s="21" t="s">
        <v>82</v>
      </c>
      <c r="F899" s="22">
        <v>14.83</v>
      </c>
      <c r="G899" s="22">
        <f>F899-'Estatística'!$D$6/'Estatística'!$D$10</f>
        <v>13.82698037</v>
      </c>
      <c r="H899" s="23">
        <v>45091.0</v>
      </c>
      <c r="I899" s="24" t="str">
        <f t="shared" si="1"/>
        <v>jun.</v>
      </c>
      <c r="O899" s="8"/>
    </row>
    <row r="900" ht="15.75" customHeight="1">
      <c r="A900" s="9">
        <v>24.0</v>
      </c>
      <c r="B900" s="9" t="s">
        <v>139</v>
      </c>
      <c r="C900" s="9" t="s">
        <v>140</v>
      </c>
      <c r="D900" s="10" t="s">
        <v>11</v>
      </c>
      <c r="E900" s="11" t="s">
        <v>88</v>
      </c>
      <c r="F900" s="12">
        <v>41.88</v>
      </c>
      <c r="G900" s="12">
        <f>F900-'Estatística'!$D$6/'Estatística'!$D$10</f>
        <v>40.87698037</v>
      </c>
      <c r="H900" s="13">
        <v>45091.0</v>
      </c>
      <c r="I900" s="14" t="str">
        <f t="shared" si="1"/>
        <v>jun.</v>
      </c>
      <c r="O900" s="8"/>
    </row>
    <row r="901" ht="15.75" customHeight="1">
      <c r="A901" s="19">
        <v>70.0</v>
      </c>
      <c r="B901" s="19" t="s">
        <v>152</v>
      </c>
      <c r="C901" s="19" t="s">
        <v>153</v>
      </c>
      <c r="D901" s="20" t="s">
        <v>30</v>
      </c>
      <c r="E901" s="21" t="s">
        <v>68</v>
      </c>
      <c r="F901" s="22">
        <v>19.22</v>
      </c>
      <c r="G901" s="22">
        <f>F901-'Estatística'!$D$6/'Estatística'!$D$10</f>
        <v>18.21698037</v>
      </c>
      <c r="H901" s="23">
        <v>45092.0</v>
      </c>
      <c r="I901" s="24" t="str">
        <f t="shared" si="1"/>
        <v>jun.</v>
      </c>
      <c r="O901" s="8"/>
    </row>
    <row r="902" ht="15.75" customHeight="1">
      <c r="A902" s="9">
        <v>92.0</v>
      </c>
      <c r="B902" s="9" t="s">
        <v>112</v>
      </c>
      <c r="C902" s="9" t="s">
        <v>197</v>
      </c>
      <c r="D902" s="10" t="s">
        <v>30</v>
      </c>
      <c r="E902" s="11" t="s">
        <v>68</v>
      </c>
      <c r="F902" s="12">
        <v>13.7</v>
      </c>
      <c r="G902" s="12">
        <f>F902-'Estatística'!$D$6/'Estatística'!$D$10</f>
        <v>12.69698037</v>
      </c>
      <c r="H902" s="13">
        <v>45092.0</v>
      </c>
      <c r="I902" s="14" t="str">
        <f t="shared" si="1"/>
        <v>jun.</v>
      </c>
      <c r="O902" s="8"/>
    </row>
    <row r="903" ht="15.75" customHeight="1">
      <c r="A903" s="19">
        <v>68.0</v>
      </c>
      <c r="B903" s="19" t="s">
        <v>41</v>
      </c>
      <c r="C903" s="19" t="s">
        <v>42</v>
      </c>
      <c r="D903" s="20" t="s">
        <v>30</v>
      </c>
      <c r="E903" s="21" t="s">
        <v>12</v>
      </c>
      <c r="F903" s="22">
        <v>10.49</v>
      </c>
      <c r="G903" s="22">
        <f>F903-'Estatística'!$D$6/'Estatística'!$D$10</f>
        <v>9.486980371</v>
      </c>
      <c r="H903" s="23">
        <v>45092.0</v>
      </c>
      <c r="I903" s="24" t="str">
        <f t="shared" si="1"/>
        <v>jun.</v>
      </c>
      <c r="O903" s="8"/>
    </row>
    <row r="904" ht="15.75" customHeight="1">
      <c r="A904" s="9">
        <v>12.0</v>
      </c>
      <c r="B904" s="9" t="s">
        <v>188</v>
      </c>
      <c r="C904" s="9" t="s">
        <v>189</v>
      </c>
      <c r="D904" s="10" t="s">
        <v>11</v>
      </c>
      <c r="E904" s="11" t="s">
        <v>82</v>
      </c>
      <c r="F904" s="12">
        <v>14.88</v>
      </c>
      <c r="G904" s="12">
        <f>F904-'Estatística'!$D$6/'Estatística'!$D$10</f>
        <v>13.87698037</v>
      </c>
      <c r="H904" s="13">
        <v>45092.0</v>
      </c>
      <c r="I904" s="14" t="str">
        <f t="shared" si="1"/>
        <v>jun.</v>
      </c>
      <c r="O904" s="8"/>
    </row>
    <row r="905" ht="15.75" customHeight="1">
      <c r="A905" s="19">
        <v>1.0</v>
      </c>
      <c r="B905" s="19" t="s">
        <v>194</v>
      </c>
      <c r="C905" s="19" t="s">
        <v>195</v>
      </c>
      <c r="D905" s="20" t="s">
        <v>11</v>
      </c>
      <c r="E905" s="21" t="s">
        <v>88</v>
      </c>
      <c r="F905" s="22">
        <v>42.04</v>
      </c>
      <c r="G905" s="22">
        <f>F905-'Estatística'!$D$6/'Estatística'!$D$10</f>
        <v>41.03698037</v>
      </c>
      <c r="H905" s="23">
        <v>45092.0</v>
      </c>
      <c r="I905" s="24" t="str">
        <f t="shared" si="1"/>
        <v>jun.</v>
      </c>
      <c r="O905" s="8"/>
    </row>
    <row r="906" ht="15.75" customHeight="1">
      <c r="A906" s="9">
        <v>17.0</v>
      </c>
      <c r="B906" s="9" t="s">
        <v>200</v>
      </c>
      <c r="C906" s="9" t="s">
        <v>201</v>
      </c>
      <c r="D906" s="10" t="s">
        <v>30</v>
      </c>
      <c r="E906" s="11" t="s">
        <v>31</v>
      </c>
      <c r="F906" s="12">
        <v>40.26</v>
      </c>
      <c r="G906" s="12">
        <f>F906-'Estatística'!$D$6/'Estatística'!$D$10</f>
        <v>39.25698037</v>
      </c>
      <c r="H906" s="13">
        <v>45092.0</v>
      </c>
      <c r="I906" s="14" t="str">
        <f t="shared" si="1"/>
        <v>jun.</v>
      </c>
      <c r="O906" s="8"/>
    </row>
    <row r="907" ht="15.75" customHeight="1">
      <c r="A907" s="19">
        <v>100.0</v>
      </c>
      <c r="B907" s="19" t="s">
        <v>48</v>
      </c>
      <c r="C907" s="19" t="s">
        <v>49</v>
      </c>
      <c r="D907" s="20" t="s">
        <v>11</v>
      </c>
      <c r="E907" s="21" t="s">
        <v>72</v>
      </c>
      <c r="F907" s="22">
        <v>18.62</v>
      </c>
      <c r="G907" s="22">
        <f>F907-'Estatística'!$D$6/'Estatística'!$D$10</f>
        <v>17.61698037</v>
      </c>
      <c r="H907" s="23">
        <v>45093.0</v>
      </c>
      <c r="I907" s="24" t="str">
        <f t="shared" si="1"/>
        <v>jun.</v>
      </c>
      <c r="O907" s="8"/>
    </row>
    <row r="908" ht="15.75" customHeight="1">
      <c r="A908" s="9">
        <v>16.0</v>
      </c>
      <c r="B908" s="9" t="s">
        <v>175</v>
      </c>
      <c r="C908" s="9" t="s">
        <v>176</v>
      </c>
      <c r="D908" s="10" t="s">
        <v>11</v>
      </c>
      <c r="E908" s="11" t="s">
        <v>85</v>
      </c>
      <c r="F908" s="12">
        <v>11.77</v>
      </c>
      <c r="G908" s="12">
        <f>F908-'Estatística'!$D$6/'Estatística'!$D$10</f>
        <v>10.76698037</v>
      </c>
      <c r="H908" s="13">
        <v>45093.0</v>
      </c>
      <c r="I908" s="14" t="str">
        <f t="shared" si="1"/>
        <v>jun.</v>
      </c>
      <c r="O908" s="8"/>
    </row>
    <row r="909" ht="15.75" customHeight="1">
      <c r="A909" s="19">
        <v>35.0</v>
      </c>
      <c r="B909" s="19" t="s">
        <v>125</v>
      </c>
      <c r="C909" s="19" t="s">
        <v>126</v>
      </c>
      <c r="D909" s="20" t="s">
        <v>30</v>
      </c>
      <c r="E909" s="21" t="s">
        <v>68</v>
      </c>
      <c r="F909" s="22">
        <v>9.93</v>
      </c>
      <c r="G909" s="22">
        <f>F909-'Estatística'!$D$6/'Estatística'!$D$10</f>
        <v>8.926980371</v>
      </c>
      <c r="H909" s="23">
        <v>45093.0</v>
      </c>
      <c r="I909" s="24" t="str">
        <f t="shared" si="1"/>
        <v>jun.</v>
      </c>
      <c r="O909" s="8"/>
    </row>
    <row r="910" ht="15.75" customHeight="1">
      <c r="A910" s="9">
        <v>100.0</v>
      </c>
      <c r="B910" s="9" t="s">
        <v>48</v>
      </c>
      <c r="C910" s="9" t="s">
        <v>49</v>
      </c>
      <c r="D910" s="10" t="s">
        <v>11</v>
      </c>
      <c r="E910" s="11" t="s">
        <v>52</v>
      </c>
      <c r="F910" s="12">
        <v>64.95</v>
      </c>
      <c r="G910" s="12">
        <f>F910-'Estatística'!$D$6/'Estatística'!$D$10</f>
        <v>63.94698037</v>
      </c>
      <c r="H910" s="13">
        <v>45093.0</v>
      </c>
      <c r="I910" s="14" t="str">
        <f t="shared" si="1"/>
        <v>jun.</v>
      </c>
      <c r="O910" s="8"/>
    </row>
    <row r="911" ht="15.75" customHeight="1">
      <c r="A911" s="19">
        <v>91.0</v>
      </c>
      <c r="B911" s="19" t="s">
        <v>112</v>
      </c>
      <c r="C911" s="19" t="s">
        <v>113</v>
      </c>
      <c r="D911" s="20" t="s">
        <v>11</v>
      </c>
      <c r="E911" s="21" t="s">
        <v>88</v>
      </c>
      <c r="F911" s="22">
        <v>36.0</v>
      </c>
      <c r="G911" s="22">
        <f>F911-'Estatística'!$D$6/'Estatística'!$D$10</f>
        <v>34.99698037</v>
      </c>
      <c r="H911" s="23">
        <v>45094.0</v>
      </c>
      <c r="I911" s="24" t="str">
        <f t="shared" si="1"/>
        <v>jun.</v>
      </c>
      <c r="O911" s="8"/>
    </row>
    <row r="912" ht="15.75" customHeight="1">
      <c r="A912" s="9">
        <v>23.0</v>
      </c>
      <c r="B912" s="9" t="s">
        <v>235</v>
      </c>
      <c r="C912" s="9" t="s">
        <v>236</v>
      </c>
      <c r="D912" s="10" t="s">
        <v>11</v>
      </c>
      <c r="E912" s="11" t="s">
        <v>97</v>
      </c>
      <c r="F912" s="12">
        <v>4.94</v>
      </c>
      <c r="G912" s="12">
        <f>F912-'Estatística'!$D$6/'Estatística'!$D$10</f>
        <v>3.936980371</v>
      </c>
      <c r="H912" s="13">
        <v>45094.0</v>
      </c>
      <c r="I912" s="14" t="str">
        <f t="shared" si="1"/>
        <v>jun.</v>
      </c>
      <c r="O912" s="8"/>
    </row>
    <row r="913" ht="15.75" customHeight="1">
      <c r="A913" s="19">
        <v>55.0</v>
      </c>
      <c r="B913" s="19" t="s">
        <v>202</v>
      </c>
      <c r="C913" s="19" t="s">
        <v>203</v>
      </c>
      <c r="D913" s="20" t="s">
        <v>30</v>
      </c>
      <c r="E913" s="21" t="s">
        <v>91</v>
      </c>
      <c r="F913" s="22">
        <v>1.71</v>
      </c>
      <c r="G913" s="22">
        <f>F913-'Estatística'!$D$6/'Estatística'!$D$10</f>
        <v>0.7069803714</v>
      </c>
      <c r="H913" s="23">
        <v>45094.0</v>
      </c>
      <c r="I913" s="24" t="str">
        <f t="shared" si="1"/>
        <v>jun.</v>
      </c>
      <c r="O913" s="8"/>
    </row>
    <row r="914" ht="15.75" customHeight="1">
      <c r="A914" s="9">
        <v>42.0</v>
      </c>
      <c r="B914" s="9" t="s">
        <v>92</v>
      </c>
      <c r="C914" s="9" t="s">
        <v>170</v>
      </c>
      <c r="D914" s="10" t="s">
        <v>30</v>
      </c>
      <c r="E914" s="11" t="s">
        <v>82</v>
      </c>
      <c r="F914" s="12">
        <v>15.03</v>
      </c>
      <c r="G914" s="12">
        <f>F914-'Estatística'!$D$6/'Estatística'!$D$10</f>
        <v>14.02698037</v>
      </c>
      <c r="H914" s="13">
        <v>45094.0</v>
      </c>
      <c r="I914" s="14" t="str">
        <f t="shared" si="1"/>
        <v>jun.</v>
      </c>
      <c r="O914" s="8"/>
    </row>
    <row r="915" ht="15.75" customHeight="1">
      <c r="A915" s="19">
        <v>27.0</v>
      </c>
      <c r="B915" s="19" t="s">
        <v>173</v>
      </c>
      <c r="C915" s="19" t="s">
        <v>174</v>
      </c>
      <c r="D915" s="20" t="s">
        <v>11</v>
      </c>
      <c r="E915" s="21" t="s">
        <v>76</v>
      </c>
      <c r="F915" s="22">
        <v>11.84</v>
      </c>
      <c r="G915" s="22">
        <f>F915-'Estatística'!$D$6/'Estatística'!$D$10</f>
        <v>10.83698037</v>
      </c>
      <c r="H915" s="23">
        <v>45094.0</v>
      </c>
      <c r="I915" s="24" t="str">
        <f t="shared" si="1"/>
        <v>jun.</v>
      </c>
      <c r="O915" s="8"/>
    </row>
    <row r="916" ht="15.75" customHeight="1">
      <c r="A916" s="9">
        <v>37.0</v>
      </c>
      <c r="B916" s="9" t="s">
        <v>245</v>
      </c>
      <c r="C916" s="9" t="s">
        <v>246</v>
      </c>
      <c r="D916" s="10" t="s">
        <v>30</v>
      </c>
      <c r="E916" s="11" t="s">
        <v>72</v>
      </c>
      <c r="F916" s="12">
        <v>17.65</v>
      </c>
      <c r="G916" s="12">
        <f>F916-'Estatística'!$D$6/'Estatística'!$D$10</f>
        <v>16.64698037</v>
      </c>
      <c r="H916" s="13">
        <v>45095.0</v>
      </c>
      <c r="I916" s="14" t="str">
        <f t="shared" si="1"/>
        <v>jun.</v>
      </c>
      <c r="O916" s="8"/>
    </row>
    <row r="917" ht="15.75" customHeight="1">
      <c r="A917" s="19">
        <v>63.0</v>
      </c>
      <c r="B917" s="19" t="s">
        <v>225</v>
      </c>
      <c r="C917" s="19" t="s">
        <v>226</v>
      </c>
      <c r="D917" s="20" t="s">
        <v>30</v>
      </c>
      <c r="E917" s="21" t="s">
        <v>72</v>
      </c>
      <c r="F917" s="22">
        <v>17.34</v>
      </c>
      <c r="G917" s="22">
        <f>F917-'Estatística'!$D$6/'Estatística'!$D$10</f>
        <v>16.33698037</v>
      </c>
      <c r="H917" s="23">
        <v>45095.0</v>
      </c>
      <c r="I917" s="24" t="str">
        <f t="shared" si="1"/>
        <v>jun.</v>
      </c>
      <c r="O917" s="8"/>
    </row>
    <row r="918" ht="15.75" customHeight="1">
      <c r="A918" s="9">
        <v>71.0</v>
      </c>
      <c r="B918" s="9" t="s">
        <v>150</v>
      </c>
      <c r="C918" s="9" t="s">
        <v>151</v>
      </c>
      <c r="D918" s="10" t="s">
        <v>11</v>
      </c>
      <c r="E918" s="11" t="s">
        <v>31</v>
      </c>
      <c r="F918" s="12">
        <v>37.57</v>
      </c>
      <c r="G918" s="12">
        <f>F918-'Estatística'!$D$6/'Estatística'!$D$10</f>
        <v>36.56698037</v>
      </c>
      <c r="H918" s="13">
        <v>45095.0</v>
      </c>
      <c r="I918" s="14" t="str">
        <f t="shared" si="1"/>
        <v>jun.</v>
      </c>
      <c r="O918" s="8"/>
    </row>
    <row r="919" ht="15.75" customHeight="1">
      <c r="A919" s="19">
        <v>97.0</v>
      </c>
      <c r="B919" s="19" t="s">
        <v>69</v>
      </c>
      <c r="C919" s="19" t="s">
        <v>70</v>
      </c>
      <c r="D919" s="20" t="s">
        <v>11</v>
      </c>
      <c r="E919" s="21" t="s">
        <v>72</v>
      </c>
      <c r="F919" s="22">
        <v>17.39</v>
      </c>
      <c r="G919" s="22">
        <f>F919-'Estatística'!$D$6/'Estatística'!$D$10</f>
        <v>16.38698037</v>
      </c>
      <c r="H919" s="23">
        <v>45095.0</v>
      </c>
      <c r="I919" s="24" t="str">
        <f t="shared" si="1"/>
        <v>jun.</v>
      </c>
      <c r="O919" s="8"/>
    </row>
    <row r="920" ht="15.75" customHeight="1">
      <c r="A920" s="9">
        <v>34.0</v>
      </c>
      <c r="B920" s="9" t="s">
        <v>177</v>
      </c>
      <c r="C920" s="9" t="s">
        <v>178</v>
      </c>
      <c r="D920" s="10" t="s">
        <v>11</v>
      </c>
      <c r="E920" s="11" t="s">
        <v>12</v>
      </c>
      <c r="F920" s="12">
        <v>10.44</v>
      </c>
      <c r="G920" s="12">
        <f>F920-'Estatística'!$D$6/'Estatística'!$D$10</f>
        <v>9.436980371</v>
      </c>
      <c r="H920" s="13">
        <v>45096.0</v>
      </c>
      <c r="I920" s="14" t="str">
        <f t="shared" si="1"/>
        <v>jun.</v>
      </c>
      <c r="O920" s="8"/>
    </row>
    <row r="921" ht="15.75" customHeight="1">
      <c r="A921" s="19">
        <v>69.0</v>
      </c>
      <c r="B921" s="19" t="s">
        <v>108</v>
      </c>
      <c r="C921" s="19" t="s">
        <v>145</v>
      </c>
      <c r="D921" s="20" t="s">
        <v>30</v>
      </c>
      <c r="E921" s="21" t="s">
        <v>97</v>
      </c>
      <c r="F921" s="22">
        <v>5.4</v>
      </c>
      <c r="G921" s="22">
        <f>F921-'Estatística'!$D$6/'Estatística'!$D$10</f>
        <v>4.396980371</v>
      </c>
      <c r="H921" s="23">
        <v>45096.0</v>
      </c>
      <c r="I921" s="24" t="str">
        <f t="shared" si="1"/>
        <v>jun.</v>
      </c>
      <c r="O921" s="8"/>
    </row>
    <row r="922" ht="15.75" customHeight="1">
      <c r="A922" s="9">
        <v>60.0</v>
      </c>
      <c r="B922" s="9" t="s">
        <v>65</v>
      </c>
      <c r="C922" s="9" t="s">
        <v>66</v>
      </c>
      <c r="D922" s="10" t="s">
        <v>30</v>
      </c>
      <c r="E922" s="11" t="s">
        <v>76</v>
      </c>
      <c r="F922" s="12">
        <v>11.73</v>
      </c>
      <c r="G922" s="12">
        <f>F922-'Estatística'!$D$6/'Estatística'!$D$10</f>
        <v>10.72698037</v>
      </c>
      <c r="H922" s="13">
        <v>45096.0</v>
      </c>
      <c r="I922" s="14" t="str">
        <f t="shared" si="1"/>
        <v>jun.</v>
      </c>
      <c r="O922" s="8"/>
    </row>
    <row r="923" ht="15.75" customHeight="1">
      <c r="A923" s="19">
        <v>94.0</v>
      </c>
      <c r="B923" s="19" t="s">
        <v>207</v>
      </c>
      <c r="C923" s="19" t="s">
        <v>237</v>
      </c>
      <c r="D923" s="20" t="s">
        <v>30</v>
      </c>
      <c r="E923" s="21" t="s">
        <v>88</v>
      </c>
      <c r="F923" s="22">
        <v>37.34</v>
      </c>
      <c r="G923" s="22">
        <f>F923-'Estatística'!$D$6/'Estatística'!$D$10</f>
        <v>36.33698037</v>
      </c>
      <c r="H923" s="23">
        <v>45096.0</v>
      </c>
      <c r="I923" s="24" t="str">
        <f t="shared" si="1"/>
        <v>jun.</v>
      </c>
      <c r="O923" s="8"/>
    </row>
    <row r="924" ht="15.75" customHeight="1">
      <c r="A924" s="9">
        <v>99.0</v>
      </c>
      <c r="B924" s="9" t="s">
        <v>73</v>
      </c>
      <c r="C924" s="9" t="s">
        <v>74</v>
      </c>
      <c r="D924" s="10" t="s">
        <v>11</v>
      </c>
      <c r="E924" s="11" t="s">
        <v>35</v>
      </c>
      <c r="F924" s="12">
        <v>17.63</v>
      </c>
      <c r="G924" s="12">
        <f>F924-'Estatística'!$D$6/'Estatística'!$D$10</f>
        <v>16.62698037</v>
      </c>
      <c r="H924" s="13">
        <v>45096.0</v>
      </c>
      <c r="I924" s="14" t="str">
        <f t="shared" si="1"/>
        <v>jun.</v>
      </c>
      <c r="O924" s="8"/>
    </row>
    <row r="925" ht="15.75" customHeight="1">
      <c r="A925" s="19">
        <v>86.0</v>
      </c>
      <c r="B925" s="19" t="s">
        <v>62</v>
      </c>
      <c r="C925" s="19" t="s">
        <v>63</v>
      </c>
      <c r="D925" s="20" t="s">
        <v>11</v>
      </c>
      <c r="E925" s="21" t="s">
        <v>94</v>
      </c>
      <c r="F925" s="22">
        <v>32.41</v>
      </c>
      <c r="G925" s="22">
        <f>F925-'Estatística'!$D$6/'Estatística'!$D$10</f>
        <v>31.40698037</v>
      </c>
      <c r="H925" s="23">
        <v>45096.0</v>
      </c>
      <c r="I925" s="24" t="str">
        <f t="shared" si="1"/>
        <v>jun.</v>
      </c>
      <c r="O925" s="8"/>
    </row>
    <row r="926" ht="15.75" customHeight="1">
      <c r="A926" s="9">
        <v>50.0</v>
      </c>
      <c r="B926" s="9" t="s">
        <v>33</v>
      </c>
      <c r="C926" s="9" t="s">
        <v>34</v>
      </c>
      <c r="D926" s="10" t="s">
        <v>30</v>
      </c>
      <c r="E926" s="11" t="s">
        <v>88</v>
      </c>
      <c r="F926" s="12">
        <v>32.92</v>
      </c>
      <c r="G926" s="12">
        <f>F926-'Estatística'!$D$6/'Estatística'!$D$10</f>
        <v>31.91698037</v>
      </c>
      <c r="H926" s="13">
        <v>45096.0</v>
      </c>
      <c r="I926" s="14" t="str">
        <f t="shared" si="1"/>
        <v>jun.</v>
      </c>
      <c r="O926" s="8"/>
    </row>
    <row r="927" ht="15.75" customHeight="1">
      <c r="A927" s="19">
        <v>46.0</v>
      </c>
      <c r="B927" s="19" t="s">
        <v>143</v>
      </c>
      <c r="C927" s="19" t="s">
        <v>144</v>
      </c>
      <c r="D927" s="20" t="s">
        <v>11</v>
      </c>
      <c r="E927" s="21" t="s">
        <v>85</v>
      </c>
      <c r="F927" s="22">
        <v>13.69</v>
      </c>
      <c r="G927" s="22">
        <f>F927-'Estatística'!$D$6/'Estatística'!$D$10</f>
        <v>12.68698037</v>
      </c>
      <c r="H927" s="23">
        <v>45097.0</v>
      </c>
      <c r="I927" s="24" t="str">
        <f t="shared" si="1"/>
        <v>jun.</v>
      </c>
      <c r="O927" s="8"/>
    </row>
    <row r="928" ht="15.75" customHeight="1">
      <c r="A928" s="9">
        <v>42.0</v>
      </c>
      <c r="B928" s="9" t="s">
        <v>92</v>
      </c>
      <c r="C928" s="9" t="s">
        <v>170</v>
      </c>
      <c r="D928" s="10" t="s">
        <v>11</v>
      </c>
      <c r="E928" s="11" t="s">
        <v>12</v>
      </c>
      <c r="F928" s="12">
        <v>10.18</v>
      </c>
      <c r="G928" s="12">
        <f>F928-'Estatística'!$D$6/'Estatística'!$D$10</f>
        <v>9.176980371</v>
      </c>
      <c r="H928" s="13">
        <v>45097.0</v>
      </c>
      <c r="I928" s="14" t="str">
        <f t="shared" si="1"/>
        <v>jun.</v>
      </c>
      <c r="O928" s="8"/>
    </row>
    <row r="929" ht="15.75" customHeight="1">
      <c r="A929" s="19">
        <v>42.0</v>
      </c>
      <c r="B929" s="19" t="s">
        <v>92</v>
      </c>
      <c r="C929" s="19" t="s">
        <v>170</v>
      </c>
      <c r="D929" s="20" t="s">
        <v>30</v>
      </c>
      <c r="E929" s="21" t="s">
        <v>31</v>
      </c>
      <c r="F929" s="22">
        <v>37.83</v>
      </c>
      <c r="G929" s="22">
        <f>F929-'Estatística'!$D$6/'Estatística'!$D$10</f>
        <v>36.82698037</v>
      </c>
      <c r="H929" s="23">
        <v>45097.0</v>
      </c>
      <c r="I929" s="24" t="str">
        <f t="shared" si="1"/>
        <v>jun.</v>
      </c>
      <c r="O929" s="8"/>
    </row>
    <row r="930" ht="15.75" customHeight="1">
      <c r="A930" s="9">
        <v>63.0</v>
      </c>
      <c r="B930" s="9" t="s">
        <v>225</v>
      </c>
      <c r="C930" s="9" t="s">
        <v>226</v>
      </c>
      <c r="D930" s="10" t="s">
        <v>11</v>
      </c>
      <c r="E930" s="11" t="s">
        <v>94</v>
      </c>
      <c r="F930" s="12">
        <v>25.79</v>
      </c>
      <c r="G930" s="12">
        <f>F930-'Estatística'!$D$6/'Estatística'!$D$10</f>
        <v>24.78698037</v>
      </c>
      <c r="H930" s="13">
        <v>45097.0</v>
      </c>
      <c r="I930" s="14" t="str">
        <f t="shared" si="1"/>
        <v>jun.</v>
      </c>
      <c r="O930" s="8"/>
    </row>
    <row r="931" ht="15.75" customHeight="1">
      <c r="A931" s="19">
        <v>94.0</v>
      </c>
      <c r="B931" s="19" t="s">
        <v>207</v>
      </c>
      <c r="C931" s="19" t="s">
        <v>237</v>
      </c>
      <c r="D931" s="20" t="s">
        <v>11</v>
      </c>
      <c r="E931" s="21" t="s">
        <v>43</v>
      </c>
      <c r="F931" s="22">
        <v>14.05</v>
      </c>
      <c r="G931" s="22">
        <f>F931-'Estatística'!$D$6/'Estatística'!$D$10</f>
        <v>13.04698037</v>
      </c>
      <c r="H931" s="23">
        <v>45097.0</v>
      </c>
      <c r="I931" s="24" t="str">
        <f t="shared" si="1"/>
        <v>jun.</v>
      </c>
      <c r="O931" s="8"/>
    </row>
    <row r="932" ht="15.75" customHeight="1">
      <c r="A932" s="9">
        <v>6.0</v>
      </c>
      <c r="B932" s="9" t="s">
        <v>183</v>
      </c>
      <c r="C932" s="9" t="s">
        <v>184</v>
      </c>
      <c r="D932" s="10" t="s">
        <v>11</v>
      </c>
      <c r="E932" s="11" t="s">
        <v>79</v>
      </c>
      <c r="F932" s="12">
        <v>31.23</v>
      </c>
      <c r="G932" s="12">
        <f>F932-'Estatística'!$D$6/'Estatística'!$D$10</f>
        <v>30.22698037</v>
      </c>
      <c r="H932" s="13">
        <v>45097.0</v>
      </c>
      <c r="I932" s="14" t="str">
        <f t="shared" si="1"/>
        <v>jun.</v>
      </c>
      <c r="O932" s="8"/>
    </row>
    <row r="933" ht="15.75" customHeight="1">
      <c r="A933" s="19">
        <v>45.0</v>
      </c>
      <c r="B933" s="19" t="s">
        <v>221</v>
      </c>
      <c r="C933" s="19" t="s">
        <v>222</v>
      </c>
      <c r="D933" s="20" t="s">
        <v>30</v>
      </c>
      <c r="E933" s="21" t="s">
        <v>76</v>
      </c>
      <c r="F933" s="22">
        <v>12.17</v>
      </c>
      <c r="G933" s="22">
        <f>F933-'Estatística'!$D$6/'Estatística'!$D$10</f>
        <v>11.16698037</v>
      </c>
      <c r="H933" s="23">
        <v>45098.0</v>
      </c>
      <c r="I933" s="24" t="str">
        <f t="shared" si="1"/>
        <v>jun.</v>
      </c>
      <c r="O933" s="8"/>
    </row>
    <row r="934" ht="15.75" customHeight="1">
      <c r="A934" s="9">
        <v>39.0</v>
      </c>
      <c r="B934" s="9" t="s">
        <v>89</v>
      </c>
      <c r="C934" s="9" t="s">
        <v>90</v>
      </c>
      <c r="D934" s="10" t="s">
        <v>11</v>
      </c>
      <c r="E934" s="11" t="s">
        <v>39</v>
      </c>
      <c r="F934" s="12">
        <v>32.41</v>
      </c>
      <c r="G934" s="12">
        <f>F934-'Estatística'!$D$6/'Estatística'!$D$10</f>
        <v>31.40698037</v>
      </c>
      <c r="H934" s="13">
        <v>45098.0</v>
      </c>
      <c r="I934" s="14" t="str">
        <f t="shared" si="1"/>
        <v>jun.</v>
      </c>
      <c r="O934" s="8"/>
    </row>
    <row r="935" ht="15.75" customHeight="1">
      <c r="A935" s="19">
        <v>35.0</v>
      </c>
      <c r="B935" s="19" t="s">
        <v>125</v>
      </c>
      <c r="C935" s="19" t="s">
        <v>126</v>
      </c>
      <c r="D935" s="20" t="s">
        <v>11</v>
      </c>
      <c r="E935" s="21" t="s">
        <v>85</v>
      </c>
      <c r="F935" s="22">
        <v>13.21</v>
      </c>
      <c r="G935" s="22">
        <f>F935-'Estatística'!$D$6/'Estatística'!$D$10</f>
        <v>12.20698037</v>
      </c>
      <c r="H935" s="23">
        <v>45098.0</v>
      </c>
      <c r="I935" s="24" t="str">
        <f t="shared" si="1"/>
        <v>jun.</v>
      </c>
      <c r="O935" s="8"/>
    </row>
    <row r="936" ht="15.75" customHeight="1">
      <c r="A936" s="9">
        <v>26.0</v>
      </c>
      <c r="B936" s="9" t="s">
        <v>211</v>
      </c>
      <c r="C936" s="9" t="s">
        <v>212</v>
      </c>
      <c r="D936" s="10" t="s">
        <v>11</v>
      </c>
      <c r="E936" s="11" t="s">
        <v>88</v>
      </c>
      <c r="F936" s="12">
        <v>35.79</v>
      </c>
      <c r="G936" s="12">
        <f>F936-'Estatística'!$D$6/'Estatística'!$D$10</f>
        <v>34.78698037</v>
      </c>
      <c r="H936" s="13">
        <v>45098.0</v>
      </c>
      <c r="I936" s="14" t="str">
        <f t="shared" si="1"/>
        <v>jun.</v>
      </c>
      <c r="O936" s="8"/>
    </row>
    <row r="937" ht="15.75" customHeight="1">
      <c r="A937" s="19">
        <v>4.0</v>
      </c>
      <c r="B937" s="19" t="s">
        <v>118</v>
      </c>
      <c r="C937" s="19" t="s">
        <v>119</v>
      </c>
      <c r="D937" s="20" t="s">
        <v>30</v>
      </c>
      <c r="E937" s="21" t="s">
        <v>97</v>
      </c>
      <c r="F937" s="22">
        <v>3.83</v>
      </c>
      <c r="G937" s="22">
        <f>F937-'Estatística'!$D$6/'Estatística'!$D$10</f>
        <v>2.826980371</v>
      </c>
      <c r="H937" s="23">
        <v>45098.0</v>
      </c>
      <c r="I937" s="24" t="str">
        <f t="shared" si="1"/>
        <v>jun.</v>
      </c>
      <c r="O937" s="8"/>
    </row>
    <row r="938" ht="15.75" customHeight="1">
      <c r="A938" s="9">
        <v>91.0</v>
      </c>
      <c r="B938" s="9" t="s">
        <v>112</v>
      </c>
      <c r="C938" s="9" t="s">
        <v>113</v>
      </c>
      <c r="D938" s="10" t="s">
        <v>11</v>
      </c>
      <c r="E938" s="11" t="s">
        <v>68</v>
      </c>
      <c r="F938" s="12">
        <v>15.67</v>
      </c>
      <c r="G938" s="12">
        <f>F938-'Estatística'!$D$6/'Estatística'!$D$10</f>
        <v>14.66698037</v>
      </c>
      <c r="H938" s="13">
        <v>45099.0</v>
      </c>
      <c r="I938" s="14" t="str">
        <f t="shared" si="1"/>
        <v>jun.</v>
      </c>
      <c r="O938" s="8"/>
    </row>
    <row r="939" ht="15.75" customHeight="1">
      <c r="A939" s="19">
        <v>89.0</v>
      </c>
      <c r="B939" s="19" t="s">
        <v>135</v>
      </c>
      <c r="C939" s="19" t="s">
        <v>136</v>
      </c>
      <c r="D939" s="20" t="s">
        <v>11</v>
      </c>
      <c r="E939" s="21" t="s">
        <v>97</v>
      </c>
      <c r="F939" s="22">
        <v>3.78</v>
      </c>
      <c r="G939" s="22">
        <f>F939-'Estatística'!$D$6/'Estatística'!$D$10</f>
        <v>2.776980371</v>
      </c>
      <c r="H939" s="23">
        <v>45099.0</v>
      </c>
      <c r="I939" s="24" t="str">
        <f t="shared" si="1"/>
        <v>jun.</v>
      </c>
      <c r="O939" s="8"/>
    </row>
    <row r="940" ht="15.75" customHeight="1">
      <c r="A940" s="9">
        <v>79.0</v>
      </c>
      <c r="B940" s="9" t="s">
        <v>101</v>
      </c>
      <c r="C940" s="9" t="s">
        <v>102</v>
      </c>
      <c r="D940" s="10" t="s">
        <v>30</v>
      </c>
      <c r="E940" s="11" t="s">
        <v>35</v>
      </c>
      <c r="F940" s="12">
        <v>20.16</v>
      </c>
      <c r="G940" s="12">
        <f>F940-'Estatística'!$D$6/'Estatística'!$D$10</f>
        <v>19.15698037</v>
      </c>
      <c r="H940" s="13">
        <v>45099.0</v>
      </c>
      <c r="I940" s="14" t="str">
        <f t="shared" si="1"/>
        <v>jun.</v>
      </c>
      <c r="O940" s="8"/>
    </row>
    <row r="941" ht="15.75" customHeight="1">
      <c r="A941" s="19">
        <v>2.0</v>
      </c>
      <c r="B941" s="19" t="s">
        <v>83</v>
      </c>
      <c r="C941" s="19" t="s">
        <v>84</v>
      </c>
      <c r="D941" s="20" t="s">
        <v>30</v>
      </c>
      <c r="E941" s="21" t="s">
        <v>97</v>
      </c>
      <c r="F941" s="22">
        <v>3.04</v>
      </c>
      <c r="G941" s="22">
        <f>F941-'Estatística'!$D$6/'Estatística'!$D$10</f>
        <v>2.036980371</v>
      </c>
      <c r="H941" s="23">
        <v>45099.0</v>
      </c>
      <c r="I941" s="24" t="str">
        <f t="shared" si="1"/>
        <v>jun.</v>
      </c>
      <c r="O941" s="8"/>
    </row>
    <row r="942" ht="15.75" customHeight="1">
      <c r="A942" s="9">
        <v>64.0</v>
      </c>
      <c r="B942" s="9" t="s">
        <v>159</v>
      </c>
      <c r="C942" s="9" t="s">
        <v>160</v>
      </c>
      <c r="D942" s="10" t="s">
        <v>11</v>
      </c>
      <c r="E942" s="11" t="s">
        <v>91</v>
      </c>
      <c r="F942" s="12">
        <v>3.58</v>
      </c>
      <c r="G942" s="12">
        <f>F942-'Estatística'!$D$6/'Estatística'!$D$10</f>
        <v>2.576980371</v>
      </c>
      <c r="H942" s="13">
        <v>45100.0</v>
      </c>
      <c r="I942" s="14" t="str">
        <f t="shared" si="1"/>
        <v>jun.</v>
      </c>
      <c r="O942" s="8"/>
    </row>
    <row r="943" ht="15.75" customHeight="1">
      <c r="A943" s="19">
        <v>57.0</v>
      </c>
      <c r="B943" s="19" t="s">
        <v>92</v>
      </c>
      <c r="C943" s="19" t="s">
        <v>190</v>
      </c>
      <c r="D943" s="20" t="s">
        <v>11</v>
      </c>
      <c r="E943" s="21" t="s">
        <v>94</v>
      </c>
      <c r="F943" s="22">
        <v>28.13</v>
      </c>
      <c r="G943" s="22">
        <f>F943-'Estatística'!$D$6/'Estatística'!$D$10</f>
        <v>27.12698037</v>
      </c>
      <c r="H943" s="23">
        <v>45100.0</v>
      </c>
      <c r="I943" s="24" t="str">
        <f t="shared" si="1"/>
        <v>jun.</v>
      </c>
      <c r="O943" s="8"/>
    </row>
    <row r="944" ht="15.75" customHeight="1">
      <c r="A944" s="9">
        <v>50.0</v>
      </c>
      <c r="B944" s="9" t="s">
        <v>33</v>
      </c>
      <c r="C944" s="9" t="s">
        <v>34</v>
      </c>
      <c r="D944" s="10" t="s">
        <v>11</v>
      </c>
      <c r="E944" s="11" t="s">
        <v>56</v>
      </c>
      <c r="F944" s="12">
        <v>77.3</v>
      </c>
      <c r="G944" s="12">
        <f>F944-'Estatística'!$D$6/'Estatística'!$D$10</f>
        <v>76.29698037</v>
      </c>
      <c r="H944" s="13">
        <v>45100.0</v>
      </c>
      <c r="I944" s="14" t="str">
        <f t="shared" si="1"/>
        <v>jun.</v>
      </c>
      <c r="O944" s="8"/>
    </row>
    <row r="945" ht="15.75" customHeight="1">
      <c r="A945" s="19">
        <v>99.0</v>
      </c>
      <c r="B945" s="19" t="s">
        <v>73</v>
      </c>
      <c r="C945" s="19" t="s">
        <v>74</v>
      </c>
      <c r="D945" s="20" t="s">
        <v>30</v>
      </c>
      <c r="E945" s="21" t="s">
        <v>43</v>
      </c>
      <c r="F945" s="22">
        <v>19.29</v>
      </c>
      <c r="G945" s="22">
        <f>F945-'Estatística'!$D$6/'Estatística'!$D$10</f>
        <v>18.28698037</v>
      </c>
      <c r="H945" s="23">
        <v>45100.0</v>
      </c>
      <c r="I945" s="24" t="str">
        <f t="shared" si="1"/>
        <v>jun.</v>
      </c>
      <c r="O945" s="8"/>
    </row>
    <row r="946" ht="15.75" customHeight="1">
      <c r="A946" s="9">
        <v>18.0</v>
      </c>
      <c r="B946" s="9" t="s">
        <v>163</v>
      </c>
      <c r="C946" s="9" t="s">
        <v>240</v>
      </c>
      <c r="D946" s="10" t="s">
        <v>11</v>
      </c>
      <c r="E946" s="11" t="s">
        <v>76</v>
      </c>
      <c r="F946" s="12">
        <v>12.46</v>
      </c>
      <c r="G946" s="12">
        <f>F946-'Estatística'!$D$6/'Estatística'!$D$10</f>
        <v>11.45698037</v>
      </c>
      <c r="H946" s="13">
        <v>45100.0</v>
      </c>
      <c r="I946" s="14" t="str">
        <f t="shared" si="1"/>
        <v>jun.</v>
      </c>
      <c r="O946" s="8"/>
    </row>
    <row r="947" ht="15.75" customHeight="1">
      <c r="A947" s="19">
        <v>7.0</v>
      </c>
      <c r="B947" s="19" t="s">
        <v>114</v>
      </c>
      <c r="C947" s="19" t="s">
        <v>115</v>
      </c>
      <c r="D947" s="20" t="s">
        <v>11</v>
      </c>
      <c r="E947" s="21" t="s">
        <v>52</v>
      </c>
      <c r="F947" s="22">
        <v>62.06</v>
      </c>
      <c r="G947" s="22">
        <f>F947-'Estatística'!$D$6/'Estatística'!$D$10</f>
        <v>61.05698037</v>
      </c>
      <c r="H947" s="23">
        <v>45100.0</v>
      </c>
      <c r="I947" s="24" t="str">
        <f t="shared" si="1"/>
        <v>jun.</v>
      </c>
      <c r="O947" s="8"/>
    </row>
    <row r="948" ht="15.75" customHeight="1">
      <c r="A948" s="9">
        <v>6.0</v>
      </c>
      <c r="B948" s="9" t="s">
        <v>183</v>
      </c>
      <c r="C948" s="9" t="s">
        <v>184</v>
      </c>
      <c r="D948" s="10" t="s">
        <v>11</v>
      </c>
      <c r="E948" s="11" t="s">
        <v>60</v>
      </c>
      <c r="F948" s="12">
        <v>36.51</v>
      </c>
      <c r="G948" s="12">
        <f>F948-'Estatística'!$D$6/'Estatística'!$D$10</f>
        <v>35.50698037</v>
      </c>
      <c r="H948" s="13">
        <v>45100.0</v>
      </c>
      <c r="I948" s="14" t="str">
        <f t="shared" si="1"/>
        <v>jun.</v>
      </c>
      <c r="O948" s="8"/>
    </row>
    <row r="949" ht="15.75" customHeight="1">
      <c r="A949" s="19">
        <v>40.0</v>
      </c>
      <c r="B949" s="19" t="s">
        <v>122</v>
      </c>
      <c r="C949" s="19" t="s">
        <v>185</v>
      </c>
      <c r="D949" s="20" t="s">
        <v>30</v>
      </c>
      <c r="E949" s="21" t="s">
        <v>43</v>
      </c>
      <c r="F949" s="22">
        <v>19.82</v>
      </c>
      <c r="G949" s="22">
        <f>F949-'Estatística'!$D$6/'Estatística'!$D$10</f>
        <v>18.81698037</v>
      </c>
      <c r="H949" s="23">
        <v>45100.0</v>
      </c>
      <c r="I949" s="24" t="str">
        <f t="shared" si="1"/>
        <v>jun.</v>
      </c>
      <c r="O949" s="8"/>
    </row>
    <row r="950" ht="15.75" customHeight="1">
      <c r="A950" s="9">
        <v>27.0</v>
      </c>
      <c r="B950" s="9" t="s">
        <v>173</v>
      </c>
      <c r="C950" s="9" t="s">
        <v>174</v>
      </c>
      <c r="D950" s="10" t="s">
        <v>11</v>
      </c>
      <c r="E950" s="11" t="s">
        <v>31</v>
      </c>
      <c r="F950" s="12">
        <v>50.7</v>
      </c>
      <c r="G950" s="12">
        <f>F950-'Estatística'!$D$6/'Estatística'!$D$10</f>
        <v>49.69698037</v>
      </c>
      <c r="H950" s="13">
        <v>45101.0</v>
      </c>
      <c r="I950" s="14" t="str">
        <f t="shared" si="1"/>
        <v>jun.</v>
      </c>
      <c r="O950" s="8"/>
    </row>
    <row r="951" ht="15.75" customHeight="1">
      <c r="A951" s="19">
        <v>18.0</v>
      </c>
      <c r="B951" s="19" t="s">
        <v>163</v>
      </c>
      <c r="C951" s="19" t="s">
        <v>240</v>
      </c>
      <c r="D951" s="20" t="s">
        <v>11</v>
      </c>
      <c r="E951" s="21" t="s">
        <v>50</v>
      </c>
      <c r="F951" s="22">
        <v>32.22</v>
      </c>
      <c r="G951" s="22">
        <f>F951-'Estatística'!$D$6/'Estatística'!$D$10</f>
        <v>31.21698037</v>
      </c>
      <c r="H951" s="23">
        <v>45101.0</v>
      </c>
      <c r="I951" s="24" t="str">
        <f t="shared" si="1"/>
        <v>jun.</v>
      </c>
      <c r="O951" s="8"/>
    </row>
    <row r="952" ht="15.75" customHeight="1">
      <c r="A952" s="9">
        <v>65.0</v>
      </c>
      <c r="B952" s="9" t="s">
        <v>209</v>
      </c>
      <c r="C952" s="9" t="s">
        <v>210</v>
      </c>
      <c r="D952" s="10" t="s">
        <v>11</v>
      </c>
      <c r="E952" s="11" t="s">
        <v>68</v>
      </c>
      <c r="F952" s="12">
        <v>6.85</v>
      </c>
      <c r="G952" s="12">
        <f>F952-'Estatística'!$D$6/'Estatística'!$D$10</f>
        <v>5.846980371</v>
      </c>
      <c r="H952" s="13">
        <v>45101.0</v>
      </c>
      <c r="I952" s="14" t="str">
        <f t="shared" si="1"/>
        <v>jun.</v>
      </c>
      <c r="O952" s="8"/>
    </row>
    <row r="953" ht="15.75" customHeight="1">
      <c r="A953" s="19">
        <v>15.0</v>
      </c>
      <c r="B953" s="19" t="s">
        <v>58</v>
      </c>
      <c r="C953" s="19" t="s">
        <v>59</v>
      </c>
      <c r="D953" s="20" t="s">
        <v>11</v>
      </c>
      <c r="E953" s="21" t="s">
        <v>39</v>
      </c>
      <c r="F953" s="22">
        <v>29.22</v>
      </c>
      <c r="G953" s="22">
        <f>F953-'Estatística'!$D$6/'Estatística'!$D$10</f>
        <v>28.21698037</v>
      </c>
      <c r="H953" s="23">
        <v>45101.0</v>
      </c>
      <c r="I953" s="24" t="str">
        <f t="shared" si="1"/>
        <v>jun.</v>
      </c>
      <c r="O953" s="8"/>
    </row>
    <row r="954" ht="15.75" customHeight="1">
      <c r="A954" s="9">
        <v>8.0</v>
      </c>
      <c r="B954" s="9" t="s">
        <v>108</v>
      </c>
      <c r="C954" s="9" t="s">
        <v>109</v>
      </c>
      <c r="D954" s="10" t="s">
        <v>11</v>
      </c>
      <c r="E954" s="11" t="s">
        <v>85</v>
      </c>
      <c r="F954" s="12">
        <v>15.71</v>
      </c>
      <c r="G954" s="12">
        <f>F954-'Estatística'!$D$6/'Estatística'!$D$10</f>
        <v>14.70698037</v>
      </c>
      <c r="H954" s="13">
        <v>45101.0</v>
      </c>
      <c r="I954" s="14" t="str">
        <f t="shared" si="1"/>
        <v>jun.</v>
      </c>
      <c r="O954" s="8"/>
    </row>
    <row r="955" ht="15.75" customHeight="1">
      <c r="A955" s="19">
        <v>83.0</v>
      </c>
      <c r="B955" s="19" t="s">
        <v>98</v>
      </c>
      <c r="C955" s="19" t="s">
        <v>99</v>
      </c>
      <c r="D955" s="20" t="s">
        <v>11</v>
      </c>
      <c r="E955" s="21" t="s">
        <v>31</v>
      </c>
      <c r="F955" s="22">
        <v>51.07</v>
      </c>
      <c r="G955" s="22">
        <f>F955-'Estatística'!$D$6/'Estatística'!$D$10</f>
        <v>50.06698037</v>
      </c>
      <c r="H955" s="23">
        <v>45101.0</v>
      </c>
      <c r="I955" s="24" t="str">
        <f t="shared" si="1"/>
        <v>jun.</v>
      </c>
      <c r="O955" s="8"/>
    </row>
    <row r="956" ht="15.75" customHeight="1">
      <c r="A956" s="9">
        <v>97.0</v>
      </c>
      <c r="B956" s="9" t="s">
        <v>69</v>
      </c>
      <c r="C956" s="9" t="s">
        <v>70</v>
      </c>
      <c r="D956" s="10" t="s">
        <v>30</v>
      </c>
      <c r="E956" s="11" t="s">
        <v>72</v>
      </c>
      <c r="F956" s="12">
        <v>22.44</v>
      </c>
      <c r="G956" s="12">
        <f>F956-'Estatística'!$D$6/'Estatística'!$D$10</f>
        <v>21.43698037</v>
      </c>
      <c r="H956" s="13">
        <v>45101.0</v>
      </c>
      <c r="I956" s="14" t="str">
        <f t="shared" si="1"/>
        <v>jun.</v>
      </c>
      <c r="O956" s="8"/>
    </row>
    <row r="957" ht="15.75" customHeight="1">
      <c r="A957" s="19">
        <v>93.0</v>
      </c>
      <c r="B957" s="19" t="s">
        <v>129</v>
      </c>
      <c r="C957" s="19" t="s">
        <v>130</v>
      </c>
      <c r="D957" s="20" t="s">
        <v>30</v>
      </c>
      <c r="E957" s="21" t="s">
        <v>39</v>
      </c>
      <c r="F957" s="22">
        <v>29.64</v>
      </c>
      <c r="G957" s="22">
        <f>F957-'Estatística'!$D$6/'Estatística'!$D$10</f>
        <v>28.63698037</v>
      </c>
      <c r="H957" s="23">
        <v>45101.0</v>
      </c>
      <c r="I957" s="24" t="str">
        <f t="shared" si="1"/>
        <v>jun.</v>
      </c>
      <c r="O957" s="8"/>
    </row>
    <row r="958" ht="15.75" customHeight="1">
      <c r="A958" s="9">
        <v>93.0</v>
      </c>
      <c r="B958" s="9" t="s">
        <v>129</v>
      </c>
      <c r="C958" s="9" t="s">
        <v>130</v>
      </c>
      <c r="D958" s="10" t="s">
        <v>11</v>
      </c>
      <c r="E958" s="11" t="s">
        <v>50</v>
      </c>
      <c r="F958" s="12">
        <v>22.75</v>
      </c>
      <c r="G958" s="12">
        <f>F958-'Estatística'!$D$6/'Estatística'!$D$10</f>
        <v>21.74698037</v>
      </c>
      <c r="H958" s="13">
        <v>45101.0</v>
      </c>
      <c r="I958" s="14" t="str">
        <f t="shared" si="1"/>
        <v>jun.</v>
      </c>
      <c r="O958" s="8"/>
    </row>
    <row r="959" ht="15.75" customHeight="1">
      <c r="A959" s="19">
        <v>84.0</v>
      </c>
      <c r="B959" s="19" t="s">
        <v>141</v>
      </c>
      <c r="C959" s="19" t="s">
        <v>142</v>
      </c>
      <c r="D959" s="20" t="s">
        <v>11</v>
      </c>
      <c r="E959" s="21" t="s">
        <v>85</v>
      </c>
      <c r="F959" s="22">
        <v>14.33</v>
      </c>
      <c r="G959" s="22">
        <f>F959-'Estatística'!$D$6/'Estatística'!$D$10</f>
        <v>13.32698037</v>
      </c>
      <c r="H959" s="23">
        <v>45101.0</v>
      </c>
      <c r="I959" s="24" t="str">
        <f t="shared" si="1"/>
        <v>jun.</v>
      </c>
      <c r="O959" s="8"/>
    </row>
    <row r="960" ht="15.75" customHeight="1">
      <c r="A960" s="9">
        <v>50.0</v>
      </c>
      <c r="B960" s="9" t="s">
        <v>33</v>
      </c>
      <c r="C960" s="9" t="s">
        <v>34</v>
      </c>
      <c r="D960" s="10" t="s">
        <v>30</v>
      </c>
      <c r="E960" s="11" t="s">
        <v>85</v>
      </c>
      <c r="F960" s="12">
        <v>15.1</v>
      </c>
      <c r="G960" s="12">
        <f>F960-'Estatística'!$D$6/'Estatística'!$D$10</f>
        <v>14.09698037</v>
      </c>
      <c r="H960" s="13">
        <v>45102.0</v>
      </c>
      <c r="I960" s="14" t="str">
        <f t="shared" si="1"/>
        <v>jun.</v>
      </c>
      <c r="O960" s="8"/>
    </row>
    <row r="961" ht="15.75" customHeight="1">
      <c r="A961" s="19">
        <v>82.0</v>
      </c>
      <c r="B961" s="19" t="s">
        <v>231</v>
      </c>
      <c r="C961" s="19" t="s">
        <v>232</v>
      </c>
      <c r="D961" s="20" t="s">
        <v>11</v>
      </c>
      <c r="E961" s="21" t="s">
        <v>72</v>
      </c>
      <c r="F961" s="22">
        <v>16.21</v>
      </c>
      <c r="G961" s="22">
        <f>F961-'Estatística'!$D$6/'Estatística'!$D$10</f>
        <v>15.20698037</v>
      </c>
      <c r="H961" s="23">
        <v>45102.0</v>
      </c>
      <c r="I961" s="24" t="str">
        <f t="shared" si="1"/>
        <v>jun.</v>
      </c>
      <c r="O961" s="8"/>
    </row>
    <row r="962" ht="15.75" customHeight="1">
      <c r="A962" s="9">
        <v>52.0</v>
      </c>
      <c r="B962" s="9" t="s">
        <v>181</v>
      </c>
      <c r="C962" s="9" t="s">
        <v>182</v>
      </c>
      <c r="D962" s="10" t="s">
        <v>11</v>
      </c>
      <c r="E962" s="11" t="s">
        <v>72</v>
      </c>
      <c r="F962" s="12">
        <v>20.77</v>
      </c>
      <c r="G962" s="12">
        <f>F962-'Estatística'!$D$6/'Estatística'!$D$10</f>
        <v>19.76698037</v>
      </c>
      <c r="H962" s="13">
        <v>45102.0</v>
      </c>
      <c r="I962" s="14" t="str">
        <f t="shared" si="1"/>
        <v>jun.</v>
      </c>
      <c r="O962" s="8"/>
    </row>
    <row r="963" ht="15.75" customHeight="1">
      <c r="A963" s="19">
        <v>86.0</v>
      </c>
      <c r="B963" s="19" t="s">
        <v>62</v>
      </c>
      <c r="C963" s="19" t="s">
        <v>63</v>
      </c>
      <c r="D963" s="20" t="s">
        <v>30</v>
      </c>
      <c r="E963" s="21" t="s">
        <v>12</v>
      </c>
      <c r="F963" s="22">
        <v>10.78</v>
      </c>
      <c r="G963" s="22">
        <f>F963-'Estatística'!$D$6/'Estatística'!$D$10</f>
        <v>9.776980371</v>
      </c>
      <c r="H963" s="23">
        <v>45102.0</v>
      </c>
      <c r="I963" s="24" t="str">
        <f t="shared" si="1"/>
        <v>jun.</v>
      </c>
      <c r="O963" s="8"/>
    </row>
    <row r="964" ht="15.75" customHeight="1">
      <c r="A964" s="9">
        <v>13.0</v>
      </c>
      <c r="B964" s="9" t="s">
        <v>137</v>
      </c>
      <c r="C964" s="9" t="s">
        <v>138</v>
      </c>
      <c r="D964" s="10" t="s">
        <v>30</v>
      </c>
      <c r="E964" s="11" t="s">
        <v>12</v>
      </c>
      <c r="F964" s="12">
        <v>10.48</v>
      </c>
      <c r="G964" s="12">
        <f>F964-'Estatística'!$D$6/'Estatística'!$D$10</f>
        <v>9.476980371</v>
      </c>
      <c r="H964" s="13">
        <v>45102.0</v>
      </c>
      <c r="I964" s="14" t="str">
        <f t="shared" si="1"/>
        <v>jun.</v>
      </c>
      <c r="O964" s="8"/>
    </row>
    <row r="965" ht="15.75" customHeight="1">
      <c r="A965" s="19">
        <v>78.0</v>
      </c>
      <c r="B965" s="19" t="s">
        <v>28</v>
      </c>
      <c r="C965" s="19" t="s">
        <v>29</v>
      </c>
      <c r="D965" s="20" t="s">
        <v>11</v>
      </c>
      <c r="E965" s="21" t="s">
        <v>91</v>
      </c>
      <c r="F965" s="22">
        <v>4.25</v>
      </c>
      <c r="G965" s="22">
        <f>F965-'Estatística'!$D$6/'Estatística'!$D$10</f>
        <v>3.246980371</v>
      </c>
      <c r="H965" s="23">
        <v>45102.0</v>
      </c>
      <c r="I965" s="24" t="str">
        <f t="shared" si="1"/>
        <v>jun.</v>
      </c>
      <c r="O965" s="8"/>
    </row>
    <row r="966" ht="15.75" customHeight="1">
      <c r="A966" s="9">
        <v>97.0</v>
      </c>
      <c r="B966" s="9" t="s">
        <v>69</v>
      </c>
      <c r="C966" s="9" t="s">
        <v>70</v>
      </c>
      <c r="D966" s="10" t="s">
        <v>30</v>
      </c>
      <c r="E966" s="11" t="s">
        <v>91</v>
      </c>
      <c r="F966" s="12">
        <v>1.41</v>
      </c>
      <c r="G966" s="12">
        <f>F966-'Estatística'!$D$6/'Estatística'!$D$10</f>
        <v>0.4069803714</v>
      </c>
      <c r="H966" s="13">
        <v>45102.0</v>
      </c>
      <c r="I966" s="14" t="str">
        <f t="shared" si="1"/>
        <v>jun.</v>
      </c>
      <c r="O966" s="8"/>
    </row>
    <row r="967" ht="15.75" customHeight="1">
      <c r="A967" s="19">
        <v>76.0</v>
      </c>
      <c r="B967" s="19" t="s">
        <v>213</v>
      </c>
      <c r="C967" s="19" t="s">
        <v>214</v>
      </c>
      <c r="D967" s="20" t="s">
        <v>11</v>
      </c>
      <c r="E967" s="21" t="s">
        <v>94</v>
      </c>
      <c r="F967" s="22">
        <v>27.94</v>
      </c>
      <c r="G967" s="22">
        <f>F967-'Estatística'!$D$6/'Estatística'!$D$10</f>
        <v>26.93698037</v>
      </c>
      <c r="H967" s="23">
        <v>45102.0</v>
      </c>
      <c r="I967" s="24" t="str">
        <f t="shared" si="1"/>
        <v>jun.</v>
      </c>
      <c r="O967" s="8"/>
    </row>
    <row r="968" ht="15.75" customHeight="1">
      <c r="A968" s="9">
        <v>63.0</v>
      </c>
      <c r="B968" s="9" t="s">
        <v>225</v>
      </c>
      <c r="C968" s="9" t="s">
        <v>226</v>
      </c>
      <c r="D968" s="10" t="s">
        <v>11</v>
      </c>
      <c r="E968" s="11" t="s">
        <v>72</v>
      </c>
      <c r="F968" s="12">
        <v>23.29</v>
      </c>
      <c r="G968" s="12">
        <f>F968-'Estatística'!$D$6/'Estatística'!$D$10</f>
        <v>22.28698037</v>
      </c>
      <c r="H968" s="13">
        <v>45103.0</v>
      </c>
      <c r="I968" s="14" t="str">
        <f t="shared" si="1"/>
        <v>jun.</v>
      </c>
      <c r="O968" s="8"/>
    </row>
    <row r="969" ht="15.75" customHeight="1">
      <c r="A969" s="19">
        <v>71.0</v>
      </c>
      <c r="B969" s="19" t="s">
        <v>150</v>
      </c>
      <c r="C969" s="19" t="s">
        <v>151</v>
      </c>
      <c r="D969" s="20" t="s">
        <v>30</v>
      </c>
      <c r="E969" s="21" t="s">
        <v>52</v>
      </c>
      <c r="F969" s="22">
        <v>63.78</v>
      </c>
      <c r="G969" s="22">
        <f>F969-'Estatística'!$D$6/'Estatística'!$D$10</f>
        <v>62.77698037</v>
      </c>
      <c r="H969" s="23">
        <v>45103.0</v>
      </c>
      <c r="I969" s="24" t="str">
        <f t="shared" si="1"/>
        <v>jun.</v>
      </c>
      <c r="O969" s="8"/>
    </row>
    <row r="970" ht="15.75" customHeight="1">
      <c r="A970" s="9">
        <v>49.0</v>
      </c>
      <c r="B970" s="9" t="s">
        <v>179</v>
      </c>
      <c r="C970" s="9" t="s">
        <v>180</v>
      </c>
      <c r="D970" s="10" t="s">
        <v>11</v>
      </c>
      <c r="E970" s="11" t="s">
        <v>46</v>
      </c>
      <c r="F970" s="12">
        <v>14.97</v>
      </c>
      <c r="G970" s="12">
        <f>F970-'Estatística'!$D$6/'Estatística'!$D$10</f>
        <v>13.96698037</v>
      </c>
      <c r="H970" s="13">
        <v>45103.0</v>
      </c>
      <c r="I970" s="14" t="str">
        <f t="shared" si="1"/>
        <v>jun.</v>
      </c>
      <c r="O970" s="8"/>
    </row>
    <row r="971" ht="15.75" customHeight="1">
      <c r="A971" s="19">
        <v>56.0</v>
      </c>
      <c r="B971" s="19" t="s">
        <v>127</v>
      </c>
      <c r="C971" s="19" t="s">
        <v>128</v>
      </c>
      <c r="D971" s="20" t="s">
        <v>30</v>
      </c>
      <c r="E971" s="21" t="s">
        <v>60</v>
      </c>
      <c r="F971" s="22">
        <v>37.83</v>
      </c>
      <c r="G971" s="22">
        <f>F971-'Estatística'!$D$6/'Estatística'!$D$10</f>
        <v>36.82698037</v>
      </c>
      <c r="H971" s="23">
        <v>45103.0</v>
      </c>
      <c r="I971" s="24" t="str">
        <f t="shared" si="1"/>
        <v>jun.</v>
      </c>
      <c r="O971" s="8"/>
    </row>
    <row r="972" ht="15.75" customHeight="1">
      <c r="A972" s="9">
        <v>82.0</v>
      </c>
      <c r="B972" s="9" t="s">
        <v>231</v>
      </c>
      <c r="C972" s="9" t="s">
        <v>232</v>
      </c>
      <c r="D972" s="10" t="s">
        <v>30</v>
      </c>
      <c r="E972" s="11" t="s">
        <v>88</v>
      </c>
      <c r="F972" s="12">
        <v>33.53</v>
      </c>
      <c r="G972" s="12">
        <f>F972-'Estatística'!$D$6/'Estatística'!$D$10</f>
        <v>32.52698037</v>
      </c>
      <c r="H972" s="13">
        <v>45103.0</v>
      </c>
      <c r="I972" s="14" t="str">
        <f t="shared" si="1"/>
        <v>jun.</v>
      </c>
      <c r="O972" s="8"/>
    </row>
    <row r="973" ht="15.75" customHeight="1">
      <c r="A973" s="19">
        <v>44.0</v>
      </c>
      <c r="B973" s="19" t="s">
        <v>215</v>
      </c>
      <c r="C973" s="19" t="s">
        <v>216</v>
      </c>
      <c r="D973" s="20" t="s">
        <v>30</v>
      </c>
      <c r="E973" s="21" t="s">
        <v>97</v>
      </c>
      <c r="F973" s="22">
        <v>3.85</v>
      </c>
      <c r="G973" s="22">
        <f>F973-'Estatística'!$D$6/'Estatística'!$D$10</f>
        <v>2.846980371</v>
      </c>
      <c r="H973" s="23">
        <v>45104.0</v>
      </c>
      <c r="I973" s="24" t="str">
        <f t="shared" si="1"/>
        <v>jun.</v>
      </c>
      <c r="O973" s="8"/>
    </row>
    <row r="974" ht="15.75" customHeight="1">
      <c r="A974" s="9">
        <v>27.0</v>
      </c>
      <c r="B974" s="9" t="s">
        <v>173</v>
      </c>
      <c r="C974" s="9" t="s">
        <v>174</v>
      </c>
      <c r="D974" s="10" t="s">
        <v>30</v>
      </c>
      <c r="E974" s="11" t="s">
        <v>97</v>
      </c>
      <c r="F974" s="12">
        <v>3.96</v>
      </c>
      <c r="G974" s="12">
        <f>F974-'Estatística'!$D$6/'Estatística'!$D$10</f>
        <v>2.956980371</v>
      </c>
      <c r="H974" s="13">
        <v>45104.0</v>
      </c>
      <c r="I974" s="14" t="str">
        <f t="shared" si="1"/>
        <v>jun.</v>
      </c>
      <c r="O974" s="8"/>
    </row>
    <row r="975" ht="15.75" customHeight="1">
      <c r="A975" s="19">
        <v>68.0</v>
      </c>
      <c r="B975" s="19" t="s">
        <v>41</v>
      </c>
      <c r="C975" s="19" t="s">
        <v>42</v>
      </c>
      <c r="D975" s="20" t="s">
        <v>30</v>
      </c>
      <c r="E975" s="21" t="s">
        <v>50</v>
      </c>
      <c r="F975" s="22">
        <v>33.86</v>
      </c>
      <c r="G975" s="22">
        <f>F975-'Estatística'!$D$6/'Estatística'!$D$10</f>
        <v>32.85698037</v>
      </c>
      <c r="H975" s="23">
        <v>45104.0</v>
      </c>
      <c r="I975" s="24" t="str">
        <f t="shared" si="1"/>
        <v>jun.</v>
      </c>
      <c r="O975" s="8"/>
    </row>
    <row r="976" ht="15.75" customHeight="1">
      <c r="A976" s="9">
        <v>93.0</v>
      </c>
      <c r="B976" s="9" t="s">
        <v>129</v>
      </c>
      <c r="C976" s="9" t="s">
        <v>130</v>
      </c>
      <c r="D976" s="10" t="s">
        <v>30</v>
      </c>
      <c r="E976" s="11" t="s">
        <v>43</v>
      </c>
      <c r="F976" s="12">
        <v>19.75</v>
      </c>
      <c r="G976" s="12">
        <f>F976-'Estatística'!$D$6/'Estatística'!$D$10</f>
        <v>18.74698037</v>
      </c>
      <c r="H976" s="13">
        <v>45105.0</v>
      </c>
      <c r="I976" s="14" t="str">
        <f t="shared" si="1"/>
        <v>jun.</v>
      </c>
      <c r="O976" s="8"/>
    </row>
    <row r="977" ht="15.75" customHeight="1">
      <c r="A977" s="19">
        <v>67.0</v>
      </c>
      <c r="B977" s="19" t="s">
        <v>204</v>
      </c>
      <c r="C977" s="19" t="s">
        <v>205</v>
      </c>
      <c r="D977" s="20" t="s">
        <v>30</v>
      </c>
      <c r="E977" s="21" t="s">
        <v>82</v>
      </c>
      <c r="F977" s="22">
        <v>13.59</v>
      </c>
      <c r="G977" s="22">
        <f>F977-'Estatística'!$D$6/'Estatística'!$D$10</f>
        <v>12.58698037</v>
      </c>
      <c r="H977" s="23">
        <v>45105.0</v>
      </c>
      <c r="I977" s="24" t="str">
        <f t="shared" si="1"/>
        <v>jun.</v>
      </c>
      <c r="O977" s="8"/>
    </row>
    <row r="978" ht="15.75" customHeight="1">
      <c r="A978" s="9">
        <v>59.0</v>
      </c>
      <c r="B978" s="9" t="s">
        <v>103</v>
      </c>
      <c r="C978" s="9" t="s">
        <v>104</v>
      </c>
      <c r="D978" s="10" t="s">
        <v>11</v>
      </c>
      <c r="E978" s="11" t="s">
        <v>31</v>
      </c>
      <c r="F978" s="12">
        <v>36.14</v>
      </c>
      <c r="G978" s="12">
        <f>F978-'Estatística'!$D$6/'Estatística'!$D$10</f>
        <v>35.13698037</v>
      </c>
      <c r="H978" s="13">
        <v>45105.0</v>
      </c>
      <c r="I978" s="14" t="str">
        <f t="shared" si="1"/>
        <v>jun.</v>
      </c>
      <c r="O978" s="8"/>
    </row>
    <row r="979" ht="15.75" customHeight="1">
      <c r="A979" s="19">
        <v>86.0</v>
      </c>
      <c r="B979" s="19" t="s">
        <v>62</v>
      </c>
      <c r="C979" s="19" t="s">
        <v>63</v>
      </c>
      <c r="D979" s="20" t="s">
        <v>11</v>
      </c>
      <c r="E979" s="21" t="s">
        <v>68</v>
      </c>
      <c r="F979" s="22">
        <v>8.27</v>
      </c>
      <c r="G979" s="22">
        <f>F979-'Estatística'!$D$6/'Estatística'!$D$10</f>
        <v>7.266980371</v>
      </c>
      <c r="H979" s="23">
        <v>45105.0</v>
      </c>
      <c r="I979" s="24" t="str">
        <f t="shared" si="1"/>
        <v>jun.</v>
      </c>
      <c r="O979" s="8"/>
    </row>
    <row r="980" ht="15.75" customHeight="1">
      <c r="A980" s="9">
        <v>87.0</v>
      </c>
      <c r="B980" s="9" t="s">
        <v>243</v>
      </c>
      <c r="C980" s="9" t="s">
        <v>244</v>
      </c>
      <c r="D980" s="10" t="s">
        <v>11</v>
      </c>
      <c r="E980" s="11" t="s">
        <v>72</v>
      </c>
      <c r="F980" s="12">
        <v>20.7</v>
      </c>
      <c r="G980" s="12">
        <f>F980-'Estatística'!$D$6/'Estatística'!$D$10</f>
        <v>19.69698037</v>
      </c>
      <c r="H980" s="13">
        <v>45105.0</v>
      </c>
      <c r="I980" s="14" t="str">
        <f t="shared" si="1"/>
        <v>jun.</v>
      </c>
      <c r="O980" s="8"/>
    </row>
    <row r="981" ht="15.75" customHeight="1">
      <c r="A981" s="19">
        <v>24.0</v>
      </c>
      <c r="B981" s="19" t="s">
        <v>139</v>
      </c>
      <c r="C981" s="19" t="s">
        <v>140</v>
      </c>
      <c r="D981" s="20" t="s">
        <v>30</v>
      </c>
      <c r="E981" s="21" t="s">
        <v>12</v>
      </c>
      <c r="F981" s="22">
        <v>10.6</v>
      </c>
      <c r="G981" s="22">
        <f>F981-'Estatística'!$D$6/'Estatística'!$D$10</f>
        <v>9.596980371</v>
      </c>
      <c r="H981" s="23">
        <v>45105.0</v>
      </c>
      <c r="I981" s="24" t="str">
        <f t="shared" si="1"/>
        <v>jun.</v>
      </c>
      <c r="O981" s="8"/>
    </row>
    <row r="982" ht="15.75" customHeight="1">
      <c r="A982" s="9">
        <v>65.0</v>
      </c>
      <c r="B982" s="9" t="s">
        <v>209</v>
      </c>
      <c r="C982" s="9" t="s">
        <v>210</v>
      </c>
      <c r="D982" s="10" t="s">
        <v>11</v>
      </c>
      <c r="E982" s="11" t="s">
        <v>88</v>
      </c>
      <c r="F982" s="12">
        <v>32.37</v>
      </c>
      <c r="G982" s="12">
        <f>F982-'Estatística'!$D$6/'Estatística'!$D$10</f>
        <v>31.36698037</v>
      </c>
      <c r="H982" s="13">
        <v>45108.0</v>
      </c>
      <c r="I982" s="14" t="str">
        <f t="shared" si="1"/>
        <v>jul.</v>
      </c>
      <c r="O982" s="8"/>
    </row>
    <row r="983" ht="15.75" customHeight="1">
      <c r="A983" s="19">
        <v>55.0</v>
      </c>
      <c r="B983" s="19" t="s">
        <v>202</v>
      </c>
      <c r="C983" s="19" t="s">
        <v>203</v>
      </c>
      <c r="D983" s="20" t="s">
        <v>11</v>
      </c>
      <c r="E983" s="21" t="s">
        <v>68</v>
      </c>
      <c r="F983" s="22">
        <v>17.07</v>
      </c>
      <c r="G983" s="22">
        <f>F983-'Estatística'!$D$6/'Estatística'!$D$10</f>
        <v>16.06698037</v>
      </c>
      <c r="H983" s="23">
        <v>45108.0</v>
      </c>
      <c r="I983" s="24" t="str">
        <f t="shared" si="1"/>
        <v>jul.</v>
      </c>
      <c r="O983" s="8"/>
    </row>
    <row r="984" ht="15.75" customHeight="1">
      <c r="A984" s="9">
        <v>84.0</v>
      </c>
      <c r="B984" s="9" t="s">
        <v>141</v>
      </c>
      <c r="C984" s="9" t="s">
        <v>142</v>
      </c>
      <c r="D984" s="10" t="s">
        <v>30</v>
      </c>
      <c r="E984" s="11" t="s">
        <v>56</v>
      </c>
      <c r="F984" s="12">
        <v>70.09</v>
      </c>
      <c r="G984" s="12">
        <f>F984-'Estatística'!$D$6/'Estatística'!$D$10</f>
        <v>69.08698037</v>
      </c>
      <c r="H984" s="13">
        <v>45108.0</v>
      </c>
      <c r="I984" s="14" t="str">
        <f t="shared" si="1"/>
        <v>jul.</v>
      </c>
      <c r="O984" s="8"/>
    </row>
    <row r="985" ht="15.75" customHeight="1">
      <c r="A985" s="19">
        <v>21.0</v>
      </c>
      <c r="B985" s="19" t="s">
        <v>186</v>
      </c>
      <c r="C985" s="19" t="s">
        <v>187</v>
      </c>
      <c r="D985" s="20" t="s">
        <v>11</v>
      </c>
      <c r="E985" s="21" t="s">
        <v>68</v>
      </c>
      <c r="F985" s="22">
        <v>8.5</v>
      </c>
      <c r="G985" s="22">
        <f>F985-'Estatística'!$D$6/'Estatística'!$D$10</f>
        <v>7.496980371</v>
      </c>
      <c r="H985" s="23">
        <v>45108.0</v>
      </c>
      <c r="I985" s="24" t="str">
        <f t="shared" si="1"/>
        <v>jul.</v>
      </c>
      <c r="O985" s="8"/>
    </row>
    <row r="986" ht="15.75" customHeight="1">
      <c r="A986" s="9">
        <v>89.0</v>
      </c>
      <c r="B986" s="9" t="s">
        <v>135</v>
      </c>
      <c r="C986" s="9" t="s">
        <v>136</v>
      </c>
      <c r="D986" s="10" t="s">
        <v>11</v>
      </c>
      <c r="E986" s="11" t="s">
        <v>39</v>
      </c>
      <c r="F986" s="12">
        <v>21.42</v>
      </c>
      <c r="G986" s="12">
        <f>F986-'Estatística'!$D$6/'Estatística'!$D$10</f>
        <v>20.41698037</v>
      </c>
      <c r="H986" s="13">
        <v>45108.0</v>
      </c>
      <c r="I986" s="14" t="str">
        <f t="shared" si="1"/>
        <v>jul.</v>
      </c>
      <c r="O986" s="8"/>
    </row>
    <row r="987" ht="15.75" customHeight="1">
      <c r="A987" s="19">
        <v>83.0</v>
      </c>
      <c r="B987" s="19" t="s">
        <v>98</v>
      </c>
      <c r="C987" s="19" t="s">
        <v>99</v>
      </c>
      <c r="D987" s="20" t="s">
        <v>11</v>
      </c>
      <c r="E987" s="21" t="s">
        <v>94</v>
      </c>
      <c r="F987" s="22">
        <v>32.09</v>
      </c>
      <c r="G987" s="22">
        <f>F987-'Estatística'!$D$6/'Estatística'!$D$10</f>
        <v>31.08698037</v>
      </c>
      <c r="H987" s="23">
        <v>45108.0</v>
      </c>
      <c r="I987" s="24" t="str">
        <f t="shared" si="1"/>
        <v>jul.</v>
      </c>
      <c r="O987" s="8"/>
    </row>
    <row r="988" ht="15.75" customHeight="1">
      <c r="A988" s="9">
        <v>38.0</v>
      </c>
      <c r="B988" s="9" t="s">
        <v>116</v>
      </c>
      <c r="C988" s="9" t="s">
        <v>117</v>
      </c>
      <c r="D988" s="10" t="s">
        <v>11</v>
      </c>
      <c r="E988" s="11" t="s">
        <v>72</v>
      </c>
      <c r="F988" s="12">
        <v>21.54</v>
      </c>
      <c r="G988" s="12">
        <f>F988-'Estatística'!$D$6/'Estatística'!$D$10</f>
        <v>20.53698037</v>
      </c>
      <c r="H988" s="13">
        <v>45108.0</v>
      </c>
      <c r="I988" s="14" t="str">
        <f t="shared" si="1"/>
        <v>jul.</v>
      </c>
      <c r="O988" s="8"/>
    </row>
    <row r="989" ht="15.75" customHeight="1">
      <c r="A989" s="19">
        <v>87.0</v>
      </c>
      <c r="B989" s="19" t="s">
        <v>243</v>
      </c>
      <c r="C989" s="19" t="s">
        <v>244</v>
      </c>
      <c r="D989" s="20" t="s">
        <v>30</v>
      </c>
      <c r="E989" s="21" t="s">
        <v>12</v>
      </c>
      <c r="F989" s="22">
        <v>10.83</v>
      </c>
      <c r="G989" s="22">
        <f>F989-'Estatística'!$D$6/'Estatística'!$D$10</f>
        <v>9.826980371</v>
      </c>
      <c r="H989" s="23">
        <v>45108.0</v>
      </c>
      <c r="I989" s="24" t="str">
        <f t="shared" si="1"/>
        <v>jul.</v>
      </c>
      <c r="O989" s="8"/>
    </row>
    <row r="990" ht="15.75" customHeight="1">
      <c r="A990" s="9">
        <v>73.0</v>
      </c>
      <c r="B990" s="9" t="s">
        <v>223</v>
      </c>
      <c r="C990" s="9" t="s">
        <v>224</v>
      </c>
      <c r="D990" s="10" t="s">
        <v>11</v>
      </c>
      <c r="E990" s="11" t="s">
        <v>50</v>
      </c>
      <c r="F990" s="12">
        <v>28.23</v>
      </c>
      <c r="G990" s="12">
        <f>F990-'Estatística'!$D$6/'Estatística'!$D$10</f>
        <v>27.22698037</v>
      </c>
      <c r="H990" s="13">
        <v>45108.0</v>
      </c>
      <c r="I990" s="14" t="str">
        <f t="shared" si="1"/>
        <v>jul.</v>
      </c>
      <c r="O990" s="8"/>
    </row>
    <row r="991" ht="15.75" customHeight="1">
      <c r="A991" s="19">
        <v>47.0</v>
      </c>
      <c r="B991" s="19" t="s">
        <v>120</v>
      </c>
      <c r="C991" s="19" t="s">
        <v>121</v>
      </c>
      <c r="D991" s="20" t="s">
        <v>11</v>
      </c>
      <c r="E991" s="21" t="s">
        <v>31</v>
      </c>
      <c r="F991" s="22">
        <v>56.49</v>
      </c>
      <c r="G991" s="22">
        <f>F991-'Estatística'!$D$6/'Estatística'!$D$10</f>
        <v>55.48698037</v>
      </c>
      <c r="H991" s="23">
        <v>45109.0</v>
      </c>
      <c r="I991" s="24" t="str">
        <f t="shared" si="1"/>
        <v>jul.</v>
      </c>
      <c r="O991" s="8"/>
    </row>
    <row r="992" ht="15.75" customHeight="1">
      <c r="A992" s="9">
        <v>99.0</v>
      </c>
      <c r="B992" s="9" t="s">
        <v>73</v>
      </c>
      <c r="C992" s="9" t="s">
        <v>74</v>
      </c>
      <c r="D992" s="10" t="s">
        <v>11</v>
      </c>
      <c r="E992" s="11" t="s">
        <v>39</v>
      </c>
      <c r="F992" s="12">
        <v>26.88</v>
      </c>
      <c r="G992" s="12">
        <f>F992-'Estatística'!$D$6/'Estatística'!$D$10</f>
        <v>25.87698037</v>
      </c>
      <c r="H992" s="13">
        <v>45109.0</v>
      </c>
      <c r="I992" s="14" t="str">
        <f t="shared" si="1"/>
        <v>jul.</v>
      </c>
      <c r="O992" s="8"/>
    </row>
    <row r="993" ht="15.75" customHeight="1">
      <c r="A993" s="19">
        <v>2.0</v>
      </c>
      <c r="B993" s="19" t="s">
        <v>83</v>
      </c>
      <c r="C993" s="19" t="s">
        <v>84</v>
      </c>
      <c r="D993" s="20" t="s">
        <v>30</v>
      </c>
      <c r="E993" s="21" t="s">
        <v>79</v>
      </c>
      <c r="F993" s="22">
        <v>35.98</v>
      </c>
      <c r="G993" s="22">
        <f>F993-'Estatística'!$D$6/'Estatística'!$D$10</f>
        <v>34.97698037</v>
      </c>
      <c r="H993" s="23">
        <v>45109.0</v>
      </c>
      <c r="I993" s="24" t="str">
        <f t="shared" si="1"/>
        <v>jul.</v>
      </c>
      <c r="O993" s="8"/>
    </row>
    <row r="994" ht="15.75" customHeight="1">
      <c r="A994" s="9">
        <v>77.0</v>
      </c>
      <c r="B994" s="9" t="s">
        <v>9</v>
      </c>
      <c r="C994" s="9" t="s">
        <v>169</v>
      </c>
      <c r="D994" s="10" t="s">
        <v>30</v>
      </c>
      <c r="E994" s="11" t="s">
        <v>88</v>
      </c>
      <c r="F994" s="12">
        <v>34.73</v>
      </c>
      <c r="G994" s="12">
        <f>F994-'Estatística'!$D$6/'Estatística'!$D$10</f>
        <v>33.72698037</v>
      </c>
      <c r="H994" s="13">
        <v>45109.0</v>
      </c>
      <c r="I994" s="14" t="str">
        <f t="shared" si="1"/>
        <v>jul.</v>
      </c>
      <c r="O994" s="8"/>
    </row>
    <row r="995" ht="15.75" customHeight="1">
      <c r="A995" s="19">
        <v>61.0</v>
      </c>
      <c r="B995" s="19" t="s">
        <v>106</v>
      </c>
      <c r="C995" s="19" t="s">
        <v>107</v>
      </c>
      <c r="D995" s="20" t="s">
        <v>11</v>
      </c>
      <c r="E995" s="21" t="s">
        <v>43</v>
      </c>
      <c r="F995" s="22">
        <v>19.68</v>
      </c>
      <c r="G995" s="22">
        <f>F995-'Estatística'!$D$6/'Estatística'!$D$10</f>
        <v>18.67698037</v>
      </c>
      <c r="H995" s="23">
        <v>45110.0</v>
      </c>
      <c r="I995" s="24" t="str">
        <f t="shared" si="1"/>
        <v>jul.</v>
      </c>
      <c r="O995" s="8"/>
    </row>
    <row r="996" ht="15.75" customHeight="1">
      <c r="A996" s="9">
        <v>56.0</v>
      </c>
      <c r="B996" s="9" t="s">
        <v>127</v>
      </c>
      <c r="C996" s="9" t="s">
        <v>128</v>
      </c>
      <c r="D996" s="10" t="s">
        <v>11</v>
      </c>
      <c r="E996" s="11" t="s">
        <v>85</v>
      </c>
      <c r="F996" s="12">
        <v>13.0</v>
      </c>
      <c r="G996" s="12">
        <f>F996-'Estatística'!$D$6/'Estatística'!$D$10</f>
        <v>11.99698037</v>
      </c>
      <c r="H996" s="13">
        <v>45110.0</v>
      </c>
      <c r="I996" s="14" t="str">
        <f t="shared" si="1"/>
        <v>jul.</v>
      </c>
      <c r="O996" s="8"/>
    </row>
    <row r="997" ht="15.75" customHeight="1">
      <c r="A997" s="19">
        <v>81.0</v>
      </c>
      <c r="B997" s="19" t="s">
        <v>54</v>
      </c>
      <c r="C997" s="19" t="s">
        <v>55</v>
      </c>
      <c r="D997" s="20" t="s">
        <v>11</v>
      </c>
      <c r="E997" s="21" t="s">
        <v>82</v>
      </c>
      <c r="F997" s="22">
        <v>13.59</v>
      </c>
      <c r="G997" s="22">
        <f>F997-'Estatística'!$D$6/'Estatística'!$D$10</f>
        <v>12.58698037</v>
      </c>
      <c r="H997" s="23">
        <v>45110.0</v>
      </c>
      <c r="I997" s="24" t="str">
        <f t="shared" si="1"/>
        <v>jul.</v>
      </c>
      <c r="O997" s="8"/>
    </row>
    <row r="998" ht="15.75" customHeight="1">
      <c r="A998" s="9">
        <v>22.0</v>
      </c>
      <c r="B998" s="9" t="s">
        <v>131</v>
      </c>
      <c r="C998" s="9" t="s">
        <v>132</v>
      </c>
      <c r="D998" s="10" t="s">
        <v>30</v>
      </c>
      <c r="E998" s="11" t="s">
        <v>76</v>
      </c>
      <c r="F998" s="12">
        <v>11.31</v>
      </c>
      <c r="G998" s="12">
        <f>F998-'Estatística'!$D$6/'Estatística'!$D$10</f>
        <v>10.30698037</v>
      </c>
      <c r="H998" s="13">
        <v>45111.0</v>
      </c>
      <c r="I998" s="14" t="str">
        <f t="shared" si="1"/>
        <v>jul.</v>
      </c>
      <c r="O998" s="8"/>
    </row>
    <row r="999" ht="15.75" customHeight="1">
      <c r="A999" s="19">
        <v>82.0</v>
      </c>
      <c r="B999" s="19" t="s">
        <v>231</v>
      </c>
      <c r="C999" s="19" t="s">
        <v>232</v>
      </c>
      <c r="D999" s="20" t="s">
        <v>30</v>
      </c>
      <c r="E999" s="21" t="s">
        <v>43</v>
      </c>
      <c r="F999" s="22">
        <v>17.08</v>
      </c>
      <c r="G999" s="22">
        <f>F999-'Estatística'!$D$6/'Estatística'!$D$10</f>
        <v>16.07698037</v>
      </c>
      <c r="H999" s="23">
        <v>45111.0</v>
      </c>
      <c r="I999" s="24" t="str">
        <f t="shared" si="1"/>
        <v>jul.</v>
      </c>
      <c r="O999" s="8"/>
    </row>
    <row r="1000" ht="15.75" customHeight="1">
      <c r="A1000" s="9">
        <v>5.0</v>
      </c>
      <c r="B1000" s="9" t="s">
        <v>167</v>
      </c>
      <c r="C1000" s="9" t="s">
        <v>168</v>
      </c>
      <c r="D1000" s="10" t="s">
        <v>11</v>
      </c>
      <c r="E1000" s="11" t="s">
        <v>72</v>
      </c>
      <c r="F1000" s="12">
        <v>21.05</v>
      </c>
      <c r="G1000" s="12">
        <f>F1000-'Estatística'!$D$6/'Estatística'!$D$10</f>
        <v>20.04698037</v>
      </c>
      <c r="H1000" s="13">
        <v>45111.0</v>
      </c>
      <c r="I1000" s="14" t="str">
        <f t="shared" si="1"/>
        <v>jul.</v>
      </c>
      <c r="O1000" s="8"/>
    </row>
    <row r="1001" ht="15.75" customHeight="1">
      <c r="A1001" s="19">
        <v>63.0</v>
      </c>
      <c r="B1001" s="19" t="s">
        <v>225</v>
      </c>
      <c r="C1001" s="19" t="s">
        <v>226</v>
      </c>
      <c r="D1001" s="20" t="s">
        <v>11</v>
      </c>
      <c r="E1001" s="21" t="s">
        <v>56</v>
      </c>
      <c r="F1001" s="22">
        <v>66.35</v>
      </c>
      <c r="G1001" s="22">
        <f>F1001-'Estatística'!$D$6/'Estatística'!$D$10</f>
        <v>65.34698037</v>
      </c>
      <c r="H1001" s="23">
        <v>45111.0</v>
      </c>
      <c r="I1001" s="24" t="str">
        <f t="shared" si="1"/>
        <v>jul.</v>
      </c>
      <c r="O1001" s="8"/>
    </row>
    <row r="1002" ht="15.75" customHeight="1">
      <c r="A1002" s="9">
        <v>82.0</v>
      </c>
      <c r="B1002" s="9" t="s">
        <v>231</v>
      </c>
      <c r="C1002" s="9" t="s">
        <v>232</v>
      </c>
      <c r="D1002" s="10" t="s">
        <v>30</v>
      </c>
      <c r="E1002" s="11" t="s">
        <v>79</v>
      </c>
      <c r="F1002" s="12">
        <v>33.62</v>
      </c>
      <c r="G1002" s="12">
        <f>F1002-'Estatística'!$D$6/'Estatística'!$D$10</f>
        <v>32.61698037</v>
      </c>
      <c r="H1002" s="13">
        <v>45111.0</v>
      </c>
      <c r="I1002" s="14" t="str">
        <f t="shared" si="1"/>
        <v>jul.</v>
      </c>
      <c r="O1002" s="8"/>
    </row>
    <row r="1003" ht="15.75" customHeight="1">
      <c r="A1003" s="19">
        <v>78.0</v>
      </c>
      <c r="B1003" s="19" t="s">
        <v>28</v>
      </c>
      <c r="C1003" s="19" t="s">
        <v>29</v>
      </c>
      <c r="D1003" s="20" t="s">
        <v>30</v>
      </c>
      <c r="E1003" s="21" t="s">
        <v>56</v>
      </c>
      <c r="F1003" s="22">
        <v>75.41</v>
      </c>
      <c r="G1003" s="22">
        <f>F1003-'Estatística'!$D$6/'Estatística'!$D$10</f>
        <v>74.40698037</v>
      </c>
      <c r="H1003" s="23">
        <v>45111.0</v>
      </c>
      <c r="I1003" s="24" t="str">
        <f t="shared" si="1"/>
        <v>jul.</v>
      </c>
      <c r="O1003" s="8"/>
    </row>
    <row r="1004" ht="15.75" customHeight="1">
      <c r="A1004" s="9">
        <v>45.0</v>
      </c>
      <c r="B1004" s="9" t="s">
        <v>221</v>
      </c>
      <c r="C1004" s="9" t="s">
        <v>222</v>
      </c>
      <c r="D1004" s="10" t="s">
        <v>11</v>
      </c>
      <c r="E1004" s="11" t="s">
        <v>52</v>
      </c>
      <c r="F1004" s="12">
        <v>59.3</v>
      </c>
      <c r="G1004" s="12">
        <f>F1004-'Estatística'!$D$6/'Estatística'!$D$10</f>
        <v>58.29698037</v>
      </c>
      <c r="H1004" s="13">
        <v>45111.0</v>
      </c>
      <c r="I1004" s="14" t="str">
        <f t="shared" si="1"/>
        <v>jul.</v>
      </c>
      <c r="O1004" s="8"/>
    </row>
    <row r="1005" ht="15.75" customHeight="1">
      <c r="A1005" s="19">
        <v>8.0</v>
      </c>
      <c r="B1005" s="19" t="s">
        <v>108</v>
      </c>
      <c r="C1005" s="19" t="s">
        <v>109</v>
      </c>
      <c r="D1005" s="20" t="s">
        <v>30</v>
      </c>
      <c r="E1005" s="21" t="s">
        <v>12</v>
      </c>
      <c r="F1005" s="22">
        <v>10.67</v>
      </c>
      <c r="G1005" s="22">
        <f>F1005-'Estatística'!$D$6/'Estatística'!$D$10</f>
        <v>9.666980371</v>
      </c>
      <c r="H1005" s="23">
        <v>45111.0</v>
      </c>
      <c r="I1005" s="24" t="str">
        <f t="shared" si="1"/>
        <v>jul.</v>
      </c>
      <c r="O1005" s="8"/>
    </row>
    <row r="1006" ht="15.75" customHeight="1">
      <c r="A1006" s="9">
        <v>21.0</v>
      </c>
      <c r="B1006" s="9" t="s">
        <v>186</v>
      </c>
      <c r="C1006" s="9" t="s">
        <v>187</v>
      </c>
      <c r="D1006" s="10" t="s">
        <v>30</v>
      </c>
      <c r="E1006" s="11" t="s">
        <v>72</v>
      </c>
      <c r="F1006" s="12">
        <v>23.98</v>
      </c>
      <c r="G1006" s="12">
        <f>F1006-'Estatística'!$D$6/'Estatística'!$D$10</f>
        <v>22.97698037</v>
      </c>
      <c r="H1006" s="13">
        <v>45112.0</v>
      </c>
      <c r="I1006" s="14" t="str">
        <f t="shared" si="1"/>
        <v>jul.</v>
      </c>
      <c r="O1006" s="8"/>
    </row>
    <row r="1007" ht="15.75" customHeight="1">
      <c r="A1007" s="19">
        <v>65.0</v>
      </c>
      <c r="B1007" s="19" t="s">
        <v>209</v>
      </c>
      <c r="C1007" s="19" t="s">
        <v>210</v>
      </c>
      <c r="D1007" s="20" t="s">
        <v>30</v>
      </c>
      <c r="E1007" s="21" t="s">
        <v>60</v>
      </c>
      <c r="F1007" s="22">
        <v>42.79</v>
      </c>
      <c r="G1007" s="22">
        <f>F1007-'Estatística'!$D$6/'Estatística'!$D$10</f>
        <v>41.78698037</v>
      </c>
      <c r="H1007" s="23">
        <v>45112.0</v>
      </c>
      <c r="I1007" s="24" t="str">
        <f t="shared" si="1"/>
        <v>jul.</v>
      </c>
      <c r="O1007" s="8"/>
    </row>
    <row r="1008" ht="15.75" customHeight="1">
      <c r="A1008" s="9">
        <v>58.0</v>
      </c>
      <c r="B1008" s="9" t="s">
        <v>165</v>
      </c>
      <c r="C1008" s="9" t="s">
        <v>166</v>
      </c>
      <c r="D1008" s="10" t="s">
        <v>11</v>
      </c>
      <c r="E1008" s="11" t="s">
        <v>43</v>
      </c>
      <c r="F1008" s="12">
        <v>19.64</v>
      </c>
      <c r="G1008" s="12">
        <f>F1008-'Estatística'!$D$6/'Estatística'!$D$10</f>
        <v>18.63698037</v>
      </c>
      <c r="H1008" s="13">
        <v>45112.0</v>
      </c>
      <c r="I1008" s="14" t="str">
        <f t="shared" si="1"/>
        <v>jul.</v>
      </c>
      <c r="O1008" s="8"/>
    </row>
    <row r="1009" ht="15.75" customHeight="1">
      <c r="A1009" s="19">
        <v>16.0</v>
      </c>
      <c r="B1009" s="19" t="s">
        <v>175</v>
      </c>
      <c r="C1009" s="19" t="s">
        <v>176</v>
      </c>
      <c r="D1009" s="20" t="s">
        <v>30</v>
      </c>
      <c r="E1009" s="21" t="s">
        <v>46</v>
      </c>
      <c r="F1009" s="22">
        <v>13.53</v>
      </c>
      <c r="G1009" s="22">
        <f>F1009-'Estatística'!$D$6/'Estatística'!$D$10</f>
        <v>12.52698037</v>
      </c>
      <c r="H1009" s="23">
        <v>45113.0</v>
      </c>
      <c r="I1009" s="24" t="str">
        <f t="shared" si="1"/>
        <v>jul.</v>
      </c>
      <c r="O1009" s="8"/>
    </row>
    <row r="1010" ht="15.75" customHeight="1">
      <c r="A1010" s="9">
        <v>55.0</v>
      </c>
      <c r="B1010" s="9" t="s">
        <v>202</v>
      </c>
      <c r="C1010" s="9" t="s">
        <v>203</v>
      </c>
      <c r="D1010" s="10" t="s">
        <v>11</v>
      </c>
      <c r="E1010" s="11" t="s">
        <v>12</v>
      </c>
      <c r="F1010" s="12">
        <v>10.65</v>
      </c>
      <c r="G1010" s="12">
        <f>F1010-'Estatística'!$D$6/'Estatística'!$D$10</f>
        <v>9.646980371</v>
      </c>
      <c r="H1010" s="13">
        <v>45113.0</v>
      </c>
      <c r="I1010" s="14" t="str">
        <f t="shared" si="1"/>
        <v>jul.</v>
      </c>
      <c r="O1010" s="8"/>
    </row>
    <row r="1011" ht="15.75" customHeight="1">
      <c r="A1011" s="19">
        <v>62.0</v>
      </c>
      <c r="B1011" s="19" t="s">
        <v>156</v>
      </c>
      <c r="C1011" s="19" t="s">
        <v>157</v>
      </c>
      <c r="D1011" s="20" t="s">
        <v>30</v>
      </c>
      <c r="E1011" s="21" t="s">
        <v>72</v>
      </c>
      <c r="F1011" s="22">
        <v>21.74</v>
      </c>
      <c r="G1011" s="22">
        <f>F1011-'Estatística'!$D$6/'Estatística'!$D$10</f>
        <v>20.73698037</v>
      </c>
      <c r="H1011" s="23">
        <v>45113.0</v>
      </c>
      <c r="I1011" s="24" t="str">
        <f t="shared" si="1"/>
        <v>jul.</v>
      </c>
      <c r="O1011" s="8"/>
    </row>
    <row r="1012" ht="15.75" customHeight="1">
      <c r="A1012" s="9">
        <v>58.0</v>
      </c>
      <c r="B1012" s="9" t="s">
        <v>165</v>
      </c>
      <c r="C1012" s="9" t="s">
        <v>166</v>
      </c>
      <c r="D1012" s="10" t="s">
        <v>30</v>
      </c>
      <c r="E1012" s="11" t="s">
        <v>79</v>
      </c>
      <c r="F1012" s="12">
        <v>29.46</v>
      </c>
      <c r="G1012" s="12">
        <f>F1012-'Estatística'!$D$6/'Estatística'!$D$10</f>
        <v>28.45698037</v>
      </c>
      <c r="H1012" s="13">
        <v>45113.0</v>
      </c>
      <c r="I1012" s="14" t="str">
        <f t="shared" si="1"/>
        <v>jul.</v>
      </c>
      <c r="O1012" s="8"/>
    </row>
    <row r="1013" ht="15.75" customHeight="1">
      <c r="A1013" s="19">
        <v>70.0</v>
      </c>
      <c r="B1013" s="19" t="s">
        <v>152</v>
      </c>
      <c r="C1013" s="19" t="s">
        <v>153</v>
      </c>
      <c r="D1013" s="20" t="s">
        <v>30</v>
      </c>
      <c r="E1013" s="21" t="s">
        <v>56</v>
      </c>
      <c r="F1013" s="22">
        <v>70.04</v>
      </c>
      <c r="G1013" s="22">
        <f>F1013-'Estatística'!$D$6/'Estatística'!$D$10</f>
        <v>69.03698037</v>
      </c>
      <c r="H1013" s="23">
        <v>45113.0</v>
      </c>
      <c r="I1013" s="24" t="str">
        <f t="shared" si="1"/>
        <v>jul.</v>
      </c>
      <c r="O1013" s="8"/>
    </row>
    <row r="1014" ht="15.75" customHeight="1">
      <c r="A1014" s="9">
        <v>16.0</v>
      </c>
      <c r="B1014" s="9" t="s">
        <v>175</v>
      </c>
      <c r="C1014" s="9" t="s">
        <v>176</v>
      </c>
      <c r="D1014" s="10" t="s">
        <v>11</v>
      </c>
      <c r="E1014" s="11" t="s">
        <v>79</v>
      </c>
      <c r="F1014" s="12">
        <v>31.1</v>
      </c>
      <c r="G1014" s="12">
        <f>F1014-'Estatística'!$D$6/'Estatística'!$D$10</f>
        <v>30.09698037</v>
      </c>
      <c r="H1014" s="13">
        <v>45113.0</v>
      </c>
      <c r="I1014" s="14" t="str">
        <f t="shared" si="1"/>
        <v>jul.</v>
      </c>
      <c r="O1014" s="8"/>
    </row>
    <row r="1015" ht="15.75" customHeight="1">
      <c r="A1015" s="19">
        <v>29.0</v>
      </c>
      <c r="B1015" s="19" t="s">
        <v>122</v>
      </c>
      <c r="C1015" s="19" t="s">
        <v>123</v>
      </c>
      <c r="D1015" s="20" t="s">
        <v>11</v>
      </c>
      <c r="E1015" s="21" t="s">
        <v>91</v>
      </c>
      <c r="F1015" s="22">
        <v>1.3</v>
      </c>
      <c r="G1015" s="22">
        <f>F1015-'Estatística'!$D$6/'Estatística'!$D$10</f>
        <v>0.2969803714</v>
      </c>
      <c r="H1015" s="23">
        <v>45113.0</v>
      </c>
      <c r="I1015" s="24" t="str">
        <f t="shared" si="1"/>
        <v>jul.</v>
      </c>
      <c r="O1015" s="8"/>
    </row>
    <row r="1016" ht="15.75" customHeight="1">
      <c r="A1016" s="9">
        <v>26.0</v>
      </c>
      <c r="B1016" s="9" t="s">
        <v>211</v>
      </c>
      <c r="C1016" s="9" t="s">
        <v>212</v>
      </c>
      <c r="D1016" s="10" t="s">
        <v>30</v>
      </c>
      <c r="E1016" s="11" t="s">
        <v>43</v>
      </c>
      <c r="F1016" s="12">
        <v>13.97</v>
      </c>
      <c r="G1016" s="12">
        <f>F1016-'Estatística'!$D$6/'Estatística'!$D$10</f>
        <v>12.96698037</v>
      </c>
      <c r="H1016" s="13">
        <v>45113.0</v>
      </c>
      <c r="I1016" s="14" t="str">
        <f t="shared" si="1"/>
        <v>jul.</v>
      </c>
      <c r="O1016" s="8"/>
    </row>
    <row r="1017" ht="15.75" customHeight="1">
      <c r="A1017" s="19">
        <v>86.0</v>
      </c>
      <c r="B1017" s="19" t="s">
        <v>62</v>
      </c>
      <c r="C1017" s="19" t="s">
        <v>63</v>
      </c>
      <c r="D1017" s="20" t="s">
        <v>11</v>
      </c>
      <c r="E1017" s="21" t="s">
        <v>52</v>
      </c>
      <c r="F1017" s="22">
        <v>60.53</v>
      </c>
      <c r="G1017" s="22">
        <f>F1017-'Estatística'!$D$6/'Estatística'!$D$10</f>
        <v>59.52698037</v>
      </c>
      <c r="H1017" s="23">
        <v>45113.0</v>
      </c>
      <c r="I1017" s="24" t="str">
        <f t="shared" si="1"/>
        <v>jul.</v>
      </c>
      <c r="O1017" s="8"/>
    </row>
    <row r="1018" ht="15.75" customHeight="1">
      <c r="A1018" s="9">
        <v>2.0</v>
      </c>
      <c r="B1018" s="9" t="s">
        <v>83</v>
      </c>
      <c r="C1018" s="9" t="s">
        <v>84</v>
      </c>
      <c r="D1018" s="10" t="s">
        <v>30</v>
      </c>
      <c r="E1018" s="11" t="s">
        <v>97</v>
      </c>
      <c r="F1018" s="12">
        <v>4.3</v>
      </c>
      <c r="G1018" s="12">
        <f>F1018-'Estatística'!$D$6/'Estatística'!$D$10</f>
        <v>3.296980371</v>
      </c>
      <c r="H1018" s="13">
        <v>45114.0</v>
      </c>
      <c r="I1018" s="14" t="str">
        <f t="shared" si="1"/>
        <v>jul.</v>
      </c>
      <c r="O1018" s="8"/>
    </row>
    <row r="1019" ht="15.75" customHeight="1">
      <c r="A1019" s="19">
        <v>62.0</v>
      </c>
      <c r="B1019" s="19" t="s">
        <v>156</v>
      </c>
      <c r="C1019" s="19" t="s">
        <v>157</v>
      </c>
      <c r="D1019" s="20" t="s">
        <v>30</v>
      </c>
      <c r="E1019" s="21" t="s">
        <v>35</v>
      </c>
      <c r="F1019" s="22">
        <v>13.76</v>
      </c>
      <c r="G1019" s="22">
        <f>F1019-'Estatística'!$D$6/'Estatística'!$D$10</f>
        <v>12.75698037</v>
      </c>
      <c r="H1019" s="23">
        <v>45114.0</v>
      </c>
      <c r="I1019" s="24" t="str">
        <f t="shared" si="1"/>
        <v>jul.</v>
      </c>
      <c r="O1019" s="8"/>
    </row>
    <row r="1020" ht="15.75" customHeight="1">
      <c r="A1020" s="9">
        <v>51.0</v>
      </c>
      <c r="B1020" s="9" t="s">
        <v>233</v>
      </c>
      <c r="C1020" s="9" t="s">
        <v>234</v>
      </c>
      <c r="D1020" s="10" t="s">
        <v>30</v>
      </c>
      <c r="E1020" s="11" t="s">
        <v>52</v>
      </c>
      <c r="F1020" s="12">
        <v>65.54</v>
      </c>
      <c r="G1020" s="12">
        <f>F1020-'Estatística'!$D$6/'Estatística'!$D$10</f>
        <v>64.53698037</v>
      </c>
      <c r="H1020" s="13">
        <v>45114.0</v>
      </c>
      <c r="I1020" s="14" t="str">
        <f t="shared" si="1"/>
        <v>jul.</v>
      </c>
      <c r="O1020" s="8"/>
    </row>
    <row r="1021" ht="15.75" customHeight="1">
      <c r="A1021" s="19">
        <v>92.0</v>
      </c>
      <c r="B1021" s="19" t="s">
        <v>112</v>
      </c>
      <c r="C1021" s="19" t="s">
        <v>197</v>
      </c>
      <c r="D1021" s="20" t="s">
        <v>11</v>
      </c>
      <c r="E1021" s="21" t="s">
        <v>85</v>
      </c>
      <c r="F1021" s="22">
        <v>13.84</v>
      </c>
      <c r="G1021" s="22">
        <f>F1021-'Estatística'!$D$6/'Estatística'!$D$10</f>
        <v>12.83698037</v>
      </c>
      <c r="H1021" s="23">
        <v>45114.0</v>
      </c>
      <c r="I1021" s="24" t="str">
        <f t="shared" si="1"/>
        <v>jul.</v>
      </c>
      <c r="O1021" s="8"/>
    </row>
    <row r="1022" ht="15.75" customHeight="1">
      <c r="A1022" s="9">
        <v>43.0</v>
      </c>
      <c r="B1022" s="9" t="s">
        <v>95</v>
      </c>
      <c r="C1022" s="9" t="s">
        <v>96</v>
      </c>
      <c r="D1022" s="10" t="s">
        <v>30</v>
      </c>
      <c r="E1022" s="11" t="s">
        <v>50</v>
      </c>
      <c r="F1022" s="12">
        <v>29.31</v>
      </c>
      <c r="G1022" s="12">
        <f>F1022-'Estatística'!$D$6/'Estatística'!$D$10</f>
        <v>28.30698037</v>
      </c>
      <c r="H1022" s="13">
        <v>45114.0</v>
      </c>
      <c r="I1022" s="14" t="str">
        <f t="shared" si="1"/>
        <v>jul.</v>
      </c>
      <c r="O1022" s="8"/>
    </row>
    <row r="1023" ht="15.75" customHeight="1">
      <c r="A1023" s="19">
        <v>27.0</v>
      </c>
      <c r="B1023" s="19" t="s">
        <v>173</v>
      </c>
      <c r="C1023" s="19" t="s">
        <v>174</v>
      </c>
      <c r="D1023" s="20" t="s">
        <v>11</v>
      </c>
      <c r="E1023" s="21" t="s">
        <v>35</v>
      </c>
      <c r="F1023" s="22">
        <v>16.92</v>
      </c>
      <c r="G1023" s="22">
        <f>F1023-'Estatística'!$D$6/'Estatística'!$D$10</f>
        <v>15.91698037</v>
      </c>
      <c r="H1023" s="23">
        <v>45115.0</v>
      </c>
      <c r="I1023" s="24" t="str">
        <f t="shared" si="1"/>
        <v>jul.</v>
      </c>
      <c r="O1023" s="8"/>
    </row>
    <row r="1024" ht="15.75" customHeight="1">
      <c r="A1024" s="9">
        <v>38.0</v>
      </c>
      <c r="B1024" s="9" t="s">
        <v>116</v>
      </c>
      <c r="C1024" s="9" t="s">
        <v>117</v>
      </c>
      <c r="D1024" s="10" t="s">
        <v>30</v>
      </c>
      <c r="E1024" s="11" t="s">
        <v>35</v>
      </c>
      <c r="F1024" s="12">
        <v>18.63</v>
      </c>
      <c r="G1024" s="12">
        <f>F1024-'Estatística'!$D$6/'Estatística'!$D$10</f>
        <v>17.62698037</v>
      </c>
      <c r="H1024" s="13">
        <v>45115.0</v>
      </c>
      <c r="I1024" s="14" t="str">
        <f t="shared" si="1"/>
        <v>jul.</v>
      </c>
      <c r="O1024" s="8"/>
    </row>
    <row r="1025" ht="15.75" customHeight="1">
      <c r="A1025" s="19">
        <v>46.0</v>
      </c>
      <c r="B1025" s="19" t="s">
        <v>143</v>
      </c>
      <c r="C1025" s="19" t="s">
        <v>144</v>
      </c>
      <c r="D1025" s="20" t="s">
        <v>11</v>
      </c>
      <c r="E1025" s="21" t="s">
        <v>50</v>
      </c>
      <c r="F1025" s="22">
        <v>34.11</v>
      </c>
      <c r="G1025" s="22">
        <f>F1025-'Estatística'!$D$6/'Estatística'!$D$10</f>
        <v>33.10698037</v>
      </c>
      <c r="H1025" s="23">
        <v>45115.0</v>
      </c>
      <c r="I1025" s="24" t="str">
        <f t="shared" si="1"/>
        <v>jul.</v>
      </c>
      <c r="O1025" s="8"/>
    </row>
    <row r="1026" ht="15.75" customHeight="1">
      <c r="A1026" s="9">
        <v>57.0</v>
      </c>
      <c r="B1026" s="9" t="s">
        <v>92</v>
      </c>
      <c r="C1026" s="9" t="s">
        <v>190</v>
      </c>
      <c r="D1026" s="10" t="s">
        <v>30</v>
      </c>
      <c r="E1026" s="11" t="s">
        <v>97</v>
      </c>
      <c r="F1026" s="12">
        <v>3.54</v>
      </c>
      <c r="G1026" s="12">
        <f>F1026-'Estatística'!$D$6/'Estatística'!$D$10</f>
        <v>2.536980371</v>
      </c>
      <c r="H1026" s="13">
        <v>45115.0</v>
      </c>
      <c r="I1026" s="14" t="str">
        <f t="shared" si="1"/>
        <v>jul.</v>
      </c>
      <c r="O1026" s="8"/>
    </row>
    <row r="1027" ht="15.75" customHeight="1">
      <c r="A1027" s="19">
        <v>12.0</v>
      </c>
      <c r="B1027" s="19" t="s">
        <v>188</v>
      </c>
      <c r="C1027" s="19" t="s">
        <v>189</v>
      </c>
      <c r="D1027" s="20" t="s">
        <v>30</v>
      </c>
      <c r="E1027" s="21" t="s">
        <v>97</v>
      </c>
      <c r="F1027" s="22">
        <v>4.56</v>
      </c>
      <c r="G1027" s="22">
        <f>F1027-'Estatística'!$D$6/'Estatística'!$D$10</f>
        <v>3.556980371</v>
      </c>
      <c r="H1027" s="23">
        <v>45116.0</v>
      </c>
      <c r="I1027" s="24" t="str">
        <f t="shared" si="1"/>
        <v>jul.</v>
      </c>
      <c r="O1027" s="8"/>
    </row>
    <row r="1028" ht="15.75" customHeight="1">
      <c r="A1028" s="9">
        <v>18.0</v>
      </c>
      <c r="B1028" s="9" t="s">
        <v>163</v>
      </c>
      <c r="C1028" s="9" t="s">
        <v>240</v>
      </c>
      <c r="D1028" s="10" t="s">
        <v>30</v>
      </c>
      <c r="E1028" s="11" t="s">
        <v>79</v>
      </c>
      <c r="F1028" s="12">
        <v>38.95</v>
      </c>
      <c r="G1028" s="12">
        <f>F1028-'Estatística'!$D$6/'Estatística'!$D$10</f>
        <v>37.94698037</v>
      </c>
      <c r="H1028" s="13">
        <v>45116.0</v>
      </c>
      <c r="I1028" s="14" t="str">
        <f t="shared" si="1"/>
        <v>jul.</v>
      </c>
      <c r="O1028" s="8"/>
    </row>
    <row r="1029" ht="15.75" customHeight="1">
      <c r="A1029" s="19">
        <v>49.0</v>
      </c>
      <c r="B1029" s="19" t="s">
        <v>179</v>
      </c>
      <c r="C1029" s="19" t="s">
        <v>180</v>
      </c>
      <c r="D1029" s="20" t="s">
        <v>30</v>
      </c>
      <c r="E1029" s="21" t="s">
        <v>60</v>
      </c>
      <c r="F1029" s="22">
        <v>40.28</v>
      </c>
      <c r="G1029" s="22">
        <f>F1029-'Estatística'!$D$6/'Estatística'!$D$10</f>
        <v>39.27698037</v>
      </c>
      <c r="H1029" s="23">
        <v>45116.0</v>
      </c>
      <c r="I1029" s="24" t="str">
        <f t="shared" si="1"/>
        <v>jul.</v>
      </c>
      <c r="O1029" s="8"/>
    </row>
    <row r="1030" ht="15.75" customHeight="1">
      <c r="A1030" s="9">
        <v>94.0</v>
      </c>
      <c r="B1030" s="9" t="s">
        <v>207</v>
      </c>
      <c r="C1030" s="9" t="s">
        <v>237</v>
      </c>
      <c r="D1030" s="10" t="s">
        <v>30</v>
      </c>
      <c r="E1030" s="11" t="s">
        <v>60</v>
      </c>
      <c r="F1030" s="12">
        <v>54.64</v>
      </c>
      <c r="G1030" s="12">
        <f>F1030-'Estatística'!$D$6/'Estatística'!$D$10</f>
        <v>53.63698037</v>
      </c>
      <c r="H1030" s="13">
        <v>45116.0</v>
      </c>
      <c r="I1030" s="14" t="str">
        <f t="shared" si="1"/>
        <v>jul.</v>
      </c>
      <c r="O1030" s="8"/>
    </row>
    <row r="1031" ht="15.75" customHeight="1">
      <c r="A1031" s="19">
        <v>88.0</v>
      </c>
      <c r="B1031" s="19" t="s">
        <v>200</v>
      </c>
      <c r="C1031" s="19" t="s">
        <v>206</v>
      </c>
      <c r="D1031" s="20" t="s">
        <v>11</v>
      </c>
      <c r="E1031" s="21" t="s">
        <v>31</v>
      </c>
      <c r="F1031" s="22">
        <v>39.91</v>
      </c>
      <c r="G1031" s="22">
        <f>F1031-'Estatística'!$D$6/'Estatística'!$D$10</f>
        <v>38.90698037</v>
      </c>
      <c r="H1031" s="23">
        <v>45117.0</v>
      </c>
      <c r="I1031" s="24" t="str">
        <f t="shared" si="1"/>
        <v>jul.</v>
      </c>
      <c r="O1031" s="8"/>
    </row>
    <row r="1032" ht="15.75" customHeight="1">
      <c r="A1032" s="9">
        <v>62.0</v>
      </c>
      <c r="B1032" s="9" t="s">
        <v>156</v>
      </c>
      <c r="C1032" s="9" t="s">
        <v>157</v>
      </c>
      <c r="D1032" s="10" t="s">
        <v>30</v>
      </c>
      <c r="E1032" s="11" t="s">
        <v>50</v>
      </c>
      <c r="F1032" s="12">
        <v>31.08</v>
      </c>
      <c r="G1032" s="12">
        <f>F1032-'Estatística'!$D$6/'Estatística'!$D$10</f>
        <v>30.07698037</v>
      </c>
      <c r="H1032" s="13">
        <v>45117.0</v>
      </c>
      <c r="I1032" s="14" t="str">
        <f t="shared" si="1"/>
        <v>jul.</v>
      </c>
      <c r="O1032" s="8"/>
    </row>
    <row r="1033" ht="15.75" customHeight="1">
      <c r="A1033" s="19">
        <v>100.0</v>
      </c>
      <c r="B1033" s="19" t="s">
        <v>48</v>
      </c>
      <c r="C1033" s="19" t="s">
        <v>49</v>
      </c>
      <c r="D1033" s="20" t="s">
        <v>11</v>
      </c>
      <c r="E1033" s="21" t="s">
        <v>60</v>
      </c>
      <c r="F1033" s="22">
        <v>40.93</v>
      </c>
      <c r="G1033" s="22">
        <f>F1033-'Estatística'!$D$6/'Estatística'!$D$10</f>
        <v>39.92698037</v>
      </c>
      <c r="H1033" s="23">
        <v>45117.0</v>
      </c>
      <c r="I1033" s="24" t="str">
        <f t="shared" si="1"/>
        <v>jul.</v>
      </c>
      <c r="O1033" s="8"/>
    </row>
    <row r="1034" ht="15.75" customHeight="1">
      <c r="A1034" s="9">
        <v>35.0</v>
      </c>
      <c r="B1034" s="9" t="s">
        <v>125</v>
      </c>
      <c r="C1034" s="9" t="s">
        <v>126</v>
      </c>
      <c r="D1034" s="10" t="s">
        <v>30</v>
      </c>
      <c r="E1034" s="11" t="s">
        <v>82</v>
      </c>
      <c r="F1034" s="12">
        <v>10.26</v>
      </c>
      <c r="G1034" s="12">
        <f>F1034-'Estatística'!$D$6/'Estatística'!$D$10</f>
        <v>9.256980371</v>
      </c>
      <c r="H1034" s="13">
        <v>45117.0</v>
      </c>
      <c r="I1034" s="14" t="str">
        <f t="shared" si="1"/>
        <v>jul.</v>
      </c>
      <c r="O1034" s="8"/>
    </row>
    <row r="1035" ht="15.75" customHeight="1">
      <c r="A1035" s="19">
        <v>94.0</v>
      </c>
      <c r="B1035" s="19" t="s">
        <v>207</v>
      </c>
      <c r="C1035" s="19" t="s">
        <v>237</v>
      </c>
      <c r="D1035" s="20" t="s">
        <v>30</v>
      </c>
      <c r="E1035" s="21" t="s">
        <v>50</v>
      </c>
      <c r="F1035" s="22">
        <v>24.82</v>
      </c>
      <c r="G1035" s="22">
        <f>F1035-'Estatística'!$D$6/'Estatística'!$D$10</f>
        <v>23.81698037</v>
      </c>
      <c r="H1035" s="23">
        <v>45118.0</v>
      </c>
      <c r="I1035" s="24" t="str">
        <f t="shared" si="1"/>
        <v>jul.</v>
      </c>
      <c r="O1035" s="8"/>
    </row>
    <row r="1036" ht="15.75" customHeight="1">
      <c r="A1036" s="9">
        <v>79.0</v>
      </c>
      <c r="B1036" s="9" t="s">
        <v>101</v>
      </c>
      <c r="C1036" s="9" t="s">
        <v>102</v>
      </c>
      <c r="D1036" s="10" t="s">
        <v>11</v>
      </c>
      <c r="E1036" s="11" t="s">
        <v>60</v>
      </c>
      <c r="F1036" s="12">
        <v>41.57</v>
      </c>
      <c r="G1036" s="12">
        <f>F1036-'Estatística'!$D$6/'Estatística'!$D$10</f>
        <v>40.56698037</v>
      </c>
      <c r="H1036" s="13">
        <v>45119.0</v>
      </c>
      <c r="I1036" s="14" t="str">
        <f t="shared" si="1"/>
        <v>jul.</v>
      </c>
      <c r="O1036" s="8"/>
    </row>
    <row r="1037" ht="15.75" customHeight="1">
      <c r="A1037" s="19">
        <v>94.0</v>
      </c>
      <c r="B1037" s="19" t="s">
        <v>207</v>
      </c>
      <c r="C1037" s="19" t="s">
        <v>237</v>
      </c>
      <c r="D1037" s="20" t="s">
        <v>30</v>
      </c>
      <c r="E1037" s="21" t="s">
        <v>35</v>
      </c>
      <c r="F1037" s="22">
        <v>12.11</v>
      </c>
      <c r="G1037" s="22">
        <f>F1037-'Estatística'!$D$6/'Estatística'!$D$10</f>
        <v>11.10698037</v>
      </c>
      <c r="H1037" s="23">
        <v>45119.0</v>
      </c>
      <c r="I1037" s="24" t="str">
        <f t="shared" si="1"/>
        <v>jul.</v>
      </c>
      <c r="O1037" s="8"/>
    </row>
    <row r="1038" ht="15.75" customHeight="1">
      <c r="A1038" s="9">
        <v>13.0</v>
      </c>
      <c r="B1038" s="9" t="s">
        <v>137</v>
      </c>
      <c r="C1038" s="9" t="s">
        <v>138</v>
      </c>
      <c r="D1038" s="10" t="s">
        <v>30</v>
      </c>
      <c r="E1038" s="11" t="s">
        <v>91</v>
      </c>
      <c r="F1038" s="12">
        <v>4.25</v>
      </c>
      <c r="G1038" s="12">
        <f>F1038-'Estatística'!$D$6/'Estatística'!$D$10</f>
        <v>3.246980371</v>
      </c>
      <c r="H1038" s="13">
        <v>45119.0</v>
      </c>
      <c r="I1038" s="14" t="str">
        <f t="shared" si="1"/>
        <v>jul.</v>
      </c>
      <c r="O1038" s="8"/>
    </row>
    <row r="1039" ht="15.75" customHeight="1">
      <c r="A1039" s="19">
        <v>38.0</v>
      </c>
      <c r="B1039" s="19" t="s">
        <v>116</v>
      </c>
      <c r="C1039" s="19" t="s">
        <v>117</v>
      </c>
      <c r="D1039" s="20" t="s">
        <v>11</v>
      </c>
      <c r="E1039" s="21" t="s">
        <v>97</v>
      </c>
      <c r="F1039" s="22">
        <v>4.79</v>
      </c>
      <c r="G1039" s="22">
        <f>F1039-'Estatística'!$D$6/'Estatística'!$D$10</f>
        <v>3.786980371</v>
      </c>
      <c r="H1039" s="23">
        <v>45119.0</v>
      </c>
      <c r="I1039" s="24" t="str">
        <f t="shared" si="1"/>
        <v>jul.</v>
      </c>
      <c r="O1039" s="8"/>
    </row>
    <row r="1040" ht="15.75" customHeight="1">
      <c r="A1040" s="9">
        <v>91.0</v>
      </c>
      <c r="B1040" s="9" t="s">
        <v>112</v>
      </c>
      <c r="C1040" s="9" t="s">
        <v>113</v>
      </c>
      <c r="D1040" s="10" t="s">
        <v>30</v>
      </c>
      <c r="E1040" s="11" t="s">
        <v>91</v>
      </c>
      <c r="F1040" s="12">
        <v>2.81</v>
      </c>
      <c r="G1040" s="12">
        <f>F1040-'Estatística'!$D$6/'Estatística'!$D$10</f>
        <v>1.806980371</v>
      </c>
      <c r="H1040" s="13">
        <v>45119.0</v>
      </c>
      <c r="I1040" s="14" t="str">
        <f t="shared" si="1"/>
        <v>jul.</v>
      </c>
      <c r="O1040" s="8"/>
    </row>
    <row r="1041" ht="15.75" customHeight="1">
      <c r="A1041" s="19">
        <v>79.0</v>
      </c>
      <c r="B1041" s="19" t="s">
        <v>101</v>
      </c>
      <c r="C1041" s="19" t="s">
        <v>102</v>
      </c>
      <c r="D1041" s="20" t="s">
        <v>11</v>
      </c>
      <c r="E1041" s="21" t="s">
        <v>43</v>
      </c>
      <c r="F1041" s="22">
        <v>16.43</v>
      </c>
      <c r="G1041" s="22">
        <f>F1041-'Estatística'!$D$6/'Estatística'!$D$10</f>
        <v>15.42698037</v>
      </c>
      <c r="H1041" s="23">
        <v>45119.0</v>
      </c>
      <c r="I1041" s="24" t="str">
        <f t="shared" si="1"/>
        <v>jul.</v>
      </c>
      <c r="O1041" s="8"/>
    </row>
    <row r="1042" ht="15.75" customHeight="1">
      <c r="A1042" s="9">
        <v>20.0</v>
      </c>
      <c r="B1042" s="9" t="s">
        <v>161</v>
      </c>
      <c r="C1042" s="9" t="s">
        <v>162</v>
      </c>
      <c r="D1042" s="10" t="s">
        <v>30</v>
      </c>
      <c r="E1042" s="11" t="s">
        <v>76</v>
      </c>
      <c r="F1042" s="12">
        <v>12.4</v>
      </c>
      <c r="G1042" s="12">
        <f>F1042-'Estatística'!$D$6/'Estatística'!$D$10</f>
        <v>11.39698037</v>
      </c>
      <c r="H1042" s="13">
        <v>45119.0</v>
      </c>
      <c r="I1042" s="14" t="str">
        <f t="shared" si="1"/>
        <v>jul.</v>
      </c>
      <c r="O1042" s="8"/>
    </row>
    <row r="1043" ht="15.75" customHeight="1">
      <c r="A1043" s="19">
        <v>74.0</v>
      </c>
      <c r="B1043" s="19" t="s">
        <v>9</v>
      </c>
      <c r="C1043" s="19" t="s">
        <v>124</v>
      </c>
      <c r="D1043" s="20" t="s">
        <v>11</v>
      </c>
      <c r="E1043" s="21" t="s">
        <v>76</v>
      </c>
      <c r="F1043" s="22">
        <v>10.93</v>
      </c>
      <c r="G1043" s="22">
        <f>F1043-'Estatística'!$D$6/'Estatística'!$D$10</f>
        <v>9.926980371</v>
      </c>
      <c r="H1043" s="23">
        <v>45119.0</v>
      </c>
      <c r="I1043" s="24" t="str">
        <f t="shared" si="1"/>
        <v>jul.</v>
      </c>
      <c r="O1043" s="8"/>
    </row>
    <row r="1044" ht="15.75" customHeight="1">
      <c r="A1044" s="9">
        <v>17.0</v>
      </c>
      <c r="B1044" s="9" t="s">
        <v>200</v>
      </c>
      <c r="C1044" s="9" t="s">
        <v>201</v>
      </c>
      <c r="D1044" s="10" t="s">
        <v>30</v>
      </c>
      <c r="E1044" s="11" t="s">
        <v>79</v>
      </c>
      <c r="F1044" s="12">
        <v>34.6</v>
      </c>
      <c r="G1044" s="12">
        <f>F1044-'Estatística'!$D$6/'Estatística'!$D$10</f>
        <v>33.59698037</v>
      </c>
      <c r="H1044" s="13">
        <v>45120.0</v>
      </c>
      <c r="I1044" s="14" t="str">
        <f t="shared" si="1"/>
        <v>jul.</v>
      </c>
      <c r="O1044" s="8"/>
    </row>
    <row r="1045" ht="15.75" customHeight="1">
      <c r="A1045" s="19">
        <v>90.0</v>
      </c>
      <c r="B1045" s="19" t="s">
        <v>219</v>
      </c>
      <c r="C1045" s="19" t="s">
        <v>220</v>
      </c>
      <c r="D1045" s="20" t="s">
        <v>30</v>
      </c>
      <c r="E1045" s="21" t="s">
        <v>31</v>
      </c>
      <c r="F1045" s="22">
        <v>40.4</v>
      </c>
      <c r="G1045" s="22">
        <f>F1045-'Estatística'!$D$6/'Estatística'!$D$10</f>
        <v>39.39698037</v>
      </c>
      <c r="H1045" s="23">
        <v>45120.0</v>
      </c>
      <c r="I1045" s="24" t="str">
        <f t="shared" si="1"/>
        <v>jul.</v>
      </c>
      <c r="O1045" s="8"/>
    </row>
    <row r="1046" ht="15.75" customHeight="1">
      <c r="A1046" s="9">
        <v>41.0</v>
      </c>
      <c r="B1046" s="9" t="s">
        <v>217</v>
      </c>
      <c r="C1046" s="9" t="s">
        <v>218</v>
      </c>
      <c r="D1046" s="10" t="s">
        <v>30</v>
      </c>
      <c r="E1046" s="11" t="s">
        <v>50</v>
      </c>
      <c r="F1046" s="12">
        <v>33.51</v>
      </c>
      <c r="G1046" s="12">
        <f>F1046-'Estatística'!$D$6/'Estatística'!$D$10</f>
        <v>32.50698037</v>
      </c>
      <c r="H1046" s="13">
        <v>45120.0</v>
      </c>
      <c r="I1046" s="14" t="str">
        <f t="shared" si="1"/>
        <v>jul.</v>
      </c>
      <c r="O1046" s="8"/>
    </row>
    <row r="1047" ht="15.75" customHeight="1">
      <c r="A1047" s="19">
        <v>68.0</v>
      </c>
      <c r="B1047" s="19" t="s">
        <v>41</v>
      </c>
      <c r="C1047" s="19" t="s">
        <v>42</v>
      </c>
      <c r="D1047" s="20" t="s">
        <v>11</v>
      </c>
      <c r="E1047" s="21" t="s">
        <v>56</v>
      </c>
      <c r="F1047" s="22">
        <v>69.62</v>
      </c>
      <c r="G1047" s="22">
        <f>F1047-'Estatística'!$D$6/'Estatística'!$D$10</f>
        <v>68.61698037</v>
      </c>
      <c r="H1047" s="23">
        <v>45120.0</v>
      </c>
      <c r="I1047" s="24" t="str">
        <f t="shared" si="1"/>
        <v>jul.</v>
      </c>
      <c r="O1047" s="8"/>
    </row>
    <row r="1048" ht="15.75" customHeight="1">
      <c r="A1048" s="9">
        <v>39.0</v>
      </c>
      <c r="B1048" s="9" t="s">
        <v>89</v>
      </c>
      <c r="C1048" s="9" t="s">
        <v>90</v>
      </c>
      <c r="D1048" s="10" t="s">
        <v>30</v>
      </c>
      <c r="E1048" s="11" t="s">
        <v>12</v>
      </c>
      <c r="F1048" s="12">
        <v>10.19</v>
      </c>
      <c r="G1048" s="12">
        <f>F1048-'Estatística'!$D$6/'Estatística'!$D$10</f>
        <v>9.186980371</v>
      </c>
      <c r="H1048" s="13">
        <v>45120.0</v>
      </c>
      <c r="I1048" s="14" t="str">
        <f t="shared" si="1"/>
        <v>jul.</v>
      </c>
      <c r="O1048" s="8"/>
    </row>
    <row r="1049" ht="15.75" customHeight="1">
      <c r="A1049" s="19">
        <v>86.0</v>
      </c>
      <c r="B1049" s="19" t="s">
        <v>62</v>
      </c>
      <c r="C1049" s="19" t="s">
        <v>63</v>
      </c>
      <c r="D1049" s="20" t="s">
        <v>30</v>
      </c>
      <c r="E1049" s="21" t="s">
        <v>35</v>
      </c>
      <c r="F1049" s="22">
        <v>20.97</v>
      </c>
      <c r="G1049" s="22">
        <f>F1049-'Estatística'!$D$6/'Estatística'!$D$10</f>
        <v>19.96698037</v>
      </c>
      <c r="H1049" s="23">
        <v>45120.0</v>
      </c>
      <c r="I1049" s="24" t="str">
        <f t="shared" si="1"/>
        <v>jul.</v>
      </c>
      <c r="O1049" s="8"/>
    </row>
    <row r="1050" ht="15.75" customHeight="1">
      <c r="A1050" s="9">
        <v>69.0</v>
      </c>
      <c r="B1050" s="9" t="s">
        <v>108</v>
      </c>
      <c r="C1050" s="9" t="s">
        <v>145</v>
      </c>
      <c r="D1050" s="10" t="s">
        <v>30</v>
      </c>
      <c r="E1050" s="11" t="s">
        <v>12</v>
      </c>
      <c r="F1050" s="12">
        <v>10.21</v>
      </c>
      <c r="G1050" s="12">
        <f>F1050-'Estatística'!$D$6/'Estatística'!$D$10</f>
        <v>9.206980371</v>
      </c>
      <c r="H1050" s="13">
        <v>45120.0</v>
      </c>
      <c r="I1050" s="14" t="str">
        <f t="shared" si="1"/>
        <v>jul.</v>
      </c>
      <c r="O1050" s="8"/>
    </row>
    <row r="1051" ht="15.75" customHeight="1">
      <c r="A1051" s="19">
        <v>11.0</v>
      </c>
      <c r="B1051" s="19" t="s">
        <v>227</v>
      </c>
      <c r="C1051" s="19" t="s">
        <v>228</v>
      </c>
      <c r="D1051" s="20" t="s">
        <v>11</v>
      </c>
      <c r="E1051" s="21" t="s">
        <v>46</v>
      </c>
      <c r="F1051" s="22">
        <v>13.24</v>
      </c>
      <c r="G1051" s="22">
        <f>F1051-'Estatística'!$D$6/'Estatística'!$D$10</f>
        <v>12.23698037</v>
      </c>
      <c r="H1051" s="23">
        <v>45121.0</v>
      </c>
      <c r="I1051" s="24" t="str">
        <f t="shared" si="1"/>
        <v>jul.</v>
      </c>
      <c r="O1051" s="8"/>
    </row>
    <row r="1052" ht="15.75" customHeight="1">
      <c r="A1052" s="9">
        <v>58.0</v>
      </c>
      <c r="B1052" s="9" t="s">
        <v>165</v>
      </c>
      <c r="C1052" s="9" t="s">
        <v>166</v>
      </c>
      <c r="D1052" s="10" t="s">
        <v>30</v>
      </c>
      <c r="E1052" s="11" t="s">
        <v>72</v>
      </c>
      <c r="F1052" s="12">
        <v>22.44</v>
      </c>
      <c r="G1052" s="12">
        <f>F1052-'Estatística'!$D$6/'Estatística'!$D$10</f>
        <v>21.43698037</v>
      </c>
      <c r="H1052" s="13">
        <v>45121.0</v>
      </c>
      <c r="I1052" s="14" t="str">
        <f t="shared" si="1"/>
        <v>jul.</v>
      </c>
      <c r="O1052" s="8"/>
    </row>
    <row r="1053" ht="15.75" customHeight="1">
      <c r="A1053" s="19">
        <v>11.0</v>
      </c>
      <c r="B1053" s="19" t="s">
        <v>227</v>
      </c>
      <c r="C1053" s="19" t="s">
        <v>228</v>
      </c>
      <c r="D1053" s="20" t="s">
        <v>11</v>
      </c>
      <c r="E1053" s="21" t="s">
        <v>35</v>
      </c>
      <c r="F1053" s="22">
        <v>12.52</v>
      </c>
      <c r="G1053" s="22">
        <f>F1053-'Estatística'!$D$6/'Estatística'!$D$10</f>
        <v>11.51698037</v>
      </c>
      <c r="H1053" s="23">
        <v>45121.0</v>
      </c>
      <c r="I1053" s="24" t="str">
        <f t="shared" si="1"/>
        <v>jul.</v>
      </c>
      <c r="O1053" s="8"/>
    </row>
    <row r="1054" ht="15.75" customHeight="1">
      <c r="A1054" s="9">
        <v>16.0</v>
      </c>
      <c r="B1054" s="9" t="s">
        <v>175</v>
      </c>
      <c r="C1054" s="9" t="s">
        <v>176</v>
      </c>
      <c r="D1054" s="10" t="s">
        <v>11</v>
      </c>
      <c r="E1054" s="11" t="s">
        <v>94</v>
      </c>
      <c r="F1054" s="12">
        <v>32.06</v>
      </c>
      <c r="G1054" s="12">
        <f>F1054-'Estatística'!$D$6/'Estatística'!$D$10</f>
        <v>31.05698037</v>
      </c>
      <c r="H1054" s="13">
        <v>45121.0</v>
      </c>
      <c r="I1054" s="14" t="str">
        <f t="shared" si="1"/>
        <v>jul.</v>
      </c>
      <c r="O1054" s="8"/>
    </row>
    <row r="1055" ht="15.75" customHeight="1">
      <c r="A1055" s="19">
        <v>49.0</v>
      </c>
      <c r="B1055" s="19" t="s">
        <v>179</v>
      </c>
      <c r="C1055" s="19" t="s">
        <v>180</v>
      </c>
      <c r="D1055" s="20" t="s">
        <v>11</v>
      </c>
      <c r="E1055" s="21" t="s">
        <v>76</v>
      </c>
      <c r="F1055" s="22">
        <v>11.5</v>
      </c>
      <c r="G1055" s="22">
        <f>F1055-'Estatística'!$D$6/'Estatística'!$D$10</f>
        <v>10.49698037</v>
      </c>
      <c r="H1055" s="23">
        <v>45121.0</v>
      </c>
      <c r="I1055" s="24" t="str">
        <f t="shared" si="1"/>
        <v>jul.</v>
      </c>
      <c r="O1055" s="8"/>
    </row>
    <row r="1056" ht="15.75" customHeight="1">
      <c r="A1056" s="9">
        <v>81.0</v>
      </c>
      <c r="B1056" s="9" t="s">
        <v>54</v>
      </c>
      <c r="C1056" s="9" t="s">
        <v>55</v>
      </c>
      <c r="D1056" s="10" t="s">
        <v>11</v>
      </c>
      <c r="E1056" s="11" t="s">
        <v>97</v>
      </c>
      <c r="F1056" s="12">
        <v>4.18</v>
      </c>
      <c r="G1056" s="12">
        <f>F1056-'Estatística'!$D$6/'Estatística'!$D$10</f>
        <v>3.176980371</v>
      </c>
      <c r="H1056" s="13">
        <v>45122.0</v>
      </c>
      <c r="I1056" s="14" t="str">
        <f t="shared" si="1"/>
        <v>jul.</v>
      </c>
      <c r="O1056" s="8"/>
    </row>
    <row r="1057" ht="15.75" customHeight="1">
      <c r="A1057" s="19">
        <v>12.0</v>
      </c>
      <c r="B1057" s="19" t="s">
        <v>188</v>
      </c>
      <c r="C1057" s="19" t="s">
        <v>189</v>
      </c>
      <c r="D1057" s="20" t="s">
        <v>30</v>
      </c>
      <c r="E1057" s="21" t="s">
        <v>39</v>
      </c>
      <c r="F1057" s="22">
        <v>41.76</v>
      </c>
      <c r="G1057" s="22">
        <f>F1057-'Estatística'!$D$6/'Estatística'!$D$10</f>
        <v>40.75698037</v>
      </c>
      <c r="H1057" s="23">
        <v>45122.0</v>
      </c>
      <c r="I1057" s="24" t="str">
        <f t="shared" si="1"/>
        <v>jul.</v>
      </c>
      <c r="O1057" s="8"/>
    </row>
    <row r="1058" ht="15.75" customHeight="1">
      <c r="A1058" s="9">
        <v>14.0</v>
      </c>
      <c r="B1058" s="9" t="s">
        <v>171</v>
      </c>
      <c r="C1058" s="9" t="s">
        <v>172</v>
      </c>
      <c r="D1058" s="10" t="s">
        <v>11</v>
      </c>
      <c r="E1058" s="11" t="s">
        <v>91</v>
      </c>
      <c r="F1058" s="12">
        <v>1.67</v>
      </c>
      <c r="G1058" s="12">
        <f>F1058-'Estatística'!$D$6/'Estatística'!$D$10</f>
        <v>0.6669803714</v>
      </c>
      <c r="H1058" s="13">
        <v>45122.0</v>
      </c>
      <c r="I1058" s="14" t="str">
        <f t="shared" si="1"/>
        <v>jul.</v>
      </c>
      <c r="O1058" s="8"/>
    </row>
    <row r="1059" ht="15.75" customHeight="1">
      <c r="A1059" s="19">
        <v>13.0</v>
      </c>
      <c r="B1059" s="19" t="s">
        <v>137</v>
      </c>
      <c r="C1059" s="19" t="s">
        <v>138</v>
      </c>
      <c r="D1059" s="20" t="s">
        <v>11</v>
      </c>
      <c r="E1059" s="21" t="s">
        <v>91</v>
      </c>
      <c r="F1059" s="22">
        <v>3.9</v>
      </c>
      <c r="G1059" s="22">
        <f>F1059-'Estatística'!$D$6/'Estatística'!$D$10</f>
        <v>2.896980371</v>
      </c>
      <c r="H1059" s="23">
        <v>45122.0</v>
      </c>
      <c r="I1059" s="24" t="str">
        <f t="shared" si="1"/>
        <v>jul.</v>
      </c>
      <c r="O1059" s="8"/>
    </row>
    <row r="1060" ht="15.75" customHeight="1">
      <c r="A1060" s="9">
        <v>96.0</v>
      </c>
      <c r="B1060" s="9" t="s">
        <v>163</v>
      </c>
      <c r="C1060" s="9" t="s">
        <v>164</v>
      </c>
      <c r="D1060" s="10" t="s">
        <v>11</v>
      </c>
      <c r="E1060" s="11" t="s">
        <v>68</v>
      </c>
      <c r="F1060" s="12">
        <v>12.26</v>
      </c>
      <c r="G1060" s="12">
        <f>F1060-'Estatística'!$D$6/'Estatística'!$D$10</f>
        <v>11.25698037</v>
      </c>
      <c r="H1060" s="13">
        <v>45122.0</v>
      </c>
      <c r="I1060" s="14" t="str">
        <f t="shared" si="1"/>
        <v>jul.</v>
      </c>
      <c r="O1060" s="8"/>
    </row>
    <row r="1061" ht="15.75" customHeight="1">
      <c r="A1061" s="19">
        <v>39.0</v>
      </c>
      <c r="B1061" s="19" t="s">
        <v>89</v>
      </c>
      <c r="C1061" s="19" t="s">
        <v>90</v>
      </c>
      <c r="D1061" s="20" t="s">
        <v>30</v>
      </c>
      <c r="E1061" s="21" t="s">
        <v>76</v>
      </c>
      <c r="F1061" s="22">
        <v>12.26</v>
      </c>
      <c r="G1061" s="22">
        <f>F1061-'Estatística'!$D$6/'Estatística'!$D$10</f>
        <v>11.25698037</v>
      </c>
      <c r="H1061" s="23">
        <v>45122.0</v>
      </c>
      <c r="I1061" s="24" t="str">
        <f t="shared" si="1"/>
        <v>jul.</v>
      </c>
      <c r="O1061" s="8"/>
    </row>
    <row r="1062" ht="15.75" customHeight="1">
      <c r="A1062" s="9">
        <v>52.0</v>
      </c>
      <c r="B1062" s="9" t="s">
        <v>181</v>
      </c>
      <c r="C1062" s="9" t="s">
        <v>182</v>
      </c>
      <c r="D1062" s="10" t="s">
        <v>30</v>
      </c>
      <c r="E1062" s="11" t="s">
        <v>97</v>
      </c>
      <c r="F1062" s="12">
        <v>2.38</v>
      </c>
      <c r="G1062" s="12">
        <f>F1062-'Estatística'!$D$6/'Estatística'!$D$10</f>
        <v>1.376980371</v>
      </c>
      <c r="H1062" s="13">
        <v>45122.0</v>
      </c>
      <c r="I1062" s="14" t="str">
        <f t="shared" si="1"/>
        <v>jul.</v>
      </c>
      <c r="O1062" s="8"/>
    </row>
    <row r="1063" ht="15.75" customHeight="1">
      <c r="A1063" s="19">
        <v>47.0</v>
      </c>
      <c r="B1063" s="19" t="s">
        <v>120</v>
      </c>
      <c r="C1063" s="19" t="s">
        <v>121</v>
      </c>
      <c r="D1063" s="20" t="s">
        <v>30</v>
      </c>
      <c r="E1063" s="21" t="s">
        <v>91</v>
      </c>
      <c r="F1063" s="22">
        <v>3.83</v>
      </c>
      <c r="G1063" s="22">
        <f>F1063-'Estatística'!$D$6/'Estatística'!$D$10</f>
        <v>2.826980371</v>
      </c>
      <c r="H1063" s="23">
        <v>45122.0</v>
      </c>
      <c r="I1063" s="24" t="str">
        <f t="shared" si="1"/>
        <v>jul.</v>
      </c>
      <c r="O1063" s="8"/>
    </row>
    <row r="1064" ht="15.75" customHeight="1">
      <c r="A1064" s="9">
        <v>93.0</v>
      </c>
      <c r="B1064" s="9" t="s">
        <v>129</v>
      </c>
      <c r="C1064" s="9" t="s">
        <v>130</v>
      </c>
      <c r="D1064" s="10" t="s">
        <v>30</v>
      </c>
      <c r="E1064" s="11" t="s">
        <v>79</v>
      </c>
      <c r="F1064" s="12">
        <v>36.04</v>
      </c>
      <c r="G1064" s="12">
        <f>F1064-'Estatística'!$D$6/'Estatística'!$D$10</f>
        <v>35.03698037</v>
      </c>
      <c r="H1064" s="13">
        <v>45122.0</v>
      </c>
      <c r="I1064" s="14" t="str">
        <f t="shared" si="1"/>
        <v>jul.</v>
      </c>
      <c r="O1064" s="8"/>
    </row>
    <row r="1065" ht="15.75" customHeight="1">
      <c r="A1065" s="19">
        <v>55.0</v>
      </c>
      <c r="B1065" s="19" t="s">
        <v>202</v>
      </c>
      <c r="C1065" s="19" t="s">
        <v>203</v>
      </c>
      <c r="D1065" s="20" t="s">
        <v>30</v>
      </c>
      <c r="E1065" s="21" t="s">
        <v>82</v>
      </c>
      <c r="F1065" s="22">
        <v>14.08</v>
      </c>
      <c r="G1065" s="22">
        <f>F1065-'Estatística'!$D$6/'Estatística'!$D$10</f>
        <v>13.07698037</v>
      </c>
      <c r="H1065" s="23">
        <v>45123.0</v>
      </c>
      <c r="I1065" s="24" t="str">
        <f t="shared" si="1"/>
        <v>jul.</v>
      </c>
      <c r="O1065" s="8"/>
    </row>
    <row r="1066" ht="15.75" customHeight="1">
      <c r="A1066" s="9">
        <v>26.0</v>
      </c>
      <c r="B1066" s="9" t="s">
        <v>211</v>
      </c>
      <c r="C1066" s="9" t="s">
        <v>212</v>
      </c>
      <c r="D1066" s="10" t="s">
        <v>30</v>
      </c>
      <c r="E1066" s="11" t="s">
        <v>88</v>
      </c>
      <c r="F1066" s="12">
        <v>36.13</v>
      </c>
      <c r="G1066" s="12">
        <f>F1066-'Estatística'!$D$6/'Estatística'!$D$10</f>
        <v>35.12698037</v>
      </c>
      <c r="H1066" s="13">
        <v>45123.0</v>
      </c>
      <c r="I1066" s="14" t="str">
        <f t="shared" si="1"/>
        <v>jul.</v>
      </c>
      <c r="O1066" s="8"/>
    </row>
    <row r="1067" ht="15.75" customHeight="1">
      <c r="A1067" s="19">
        <v>42.0</v>
      </c>
      <c r="B1067" s="19" t="s">
        <v>92</v>
      </c>
      <c r="C1067" s="19" t="s">
        <v>170</v>
      </c>
      <c r="D1067" s="20" t="s">
        <v>30</v>
      </c>
      <c r="E1067" s="21" t="s">
        <v>50</v>
      </c>
      <c r="F1067" s="22">
        <v>22.66</v>
      </c>
      <c r="G1067" s="22">
        <f>F1067-'Estatística'!$D$6/'Estatística'!$D$10</f>
        <v>21.65698037</v>
      </c>
      <c r="H1067" s="23">
        <v>45123.0</v>
      </c>
      <c r="I1067" s="24" t="str">
        <f t="shared" si="1"/>
        <v>jul.</v>
      </c>
      <c r="O1067" s="8"/>
    </row>
    <row r="1068" ht="15.75" customHeight="1">
      <c r="A1068" s="9">
        <v>85.0</v>
      </c>
      <c r="B1068" s="9" t="s">
        <v>198</v>
      </c>
      <c r="C1068" s="9" t="s">
        <v>199</v>
      </c>
      <c r="D1068" s="10" t="s">
        <v>30</v>
      </c>
      <c r="E1068" s="11" t="s">
        <v>46</v>
      </c>
      <c r="F1068" s="12">
        <v>12.09</v>
      </c>
      <c r="G1068" s="12">
        <f>F1068-'Estatística'!$D$6/'Estatística'!$D$10</f>
        <v>11.08698037</v>
      </c>
      <c r="H1068" s="13">
        <v>45123.0</v>
      </c>
      <c r="I1068" s="14" t="str">
        <f t="shared" si="1"/>
        <v>jul.</v>
      </c>
      <c r="O1068" s="8"/>
    </row>
    <row r="1069" ht="15.75" customHeight="1">
      <c r="A1069" s="19">
        <v>15.0</v>
      </c>
      <c r="B1069" s="19" t="s">
        <v>58</v>
      </c>
      <c r="C1069" s="19" t="s">
        <v>59</v>
      </c>
      <c r="D1069" s="20" t="s">
        <v>30</v>
      </c>
      <c r="E1069" s="21" t="s">
        <v>85</v>
      </c>
      <c r="F1069" s="22">
        <v>15.89</v>
      </c>
      <c r="G1069" s="22">
        <f>F1069-'Estatística'!$D$6/'Estatística'!$D$10</f>
        <v>14.88698037</v>
      </c>
      <c r="H1069" s="23">
        <v>45123.0</v>
      </c>
      <c r="I1069" s="24" t="str">
        <f t="shared" si="1"/>
        <v>jul.</v>
      </c>
      <c r="O1069" s="8"/>
    </row>
    <row r="1070" ht="15.75" customHeight="1">
      <c r="A1070" s="9">
        <v>78.0</v>
      </c>
      <c r="B1070" s="9" t="s">
        <v>28</v>
      </c>
      <c r="C1070" s="9" t="s">
        <v>29</v>
      </c>
      <c r="D1070" s="10" t="s">
        <v>30</v>
      </c>
      <c r="E1070" s="11" t="s">
        <v>97</v>
      </c>
      <c r="F1070" s="12">
        <v>2.93</v>
      </c>
      <c r="G1070" s="12">
        <f>F1070-'Estatística'!$D$6/'Estatística'!$D$10</f>
        <v>1.926980371</v>
      </c>
      <c r="H1070" s="13">
        <v>45123.0</v>
      </c>
      <c r="I1070" s="14" t="str">
        <f t="shared" si="1"/>
        <v>jul.</v>
      </c>
      <c r="O1070" s="8"/>
    </row>
    <row r="1071" ht="15.75" customHeight="1">
      <c r="A1071" s="19">
        <v>43.0</v>
      </c>
      <c r="B1071" s="19" t="s">
        <v>95</v>
      </c>
      <c r="C1071" s="19" t="s">
        <v>96</v>
      </c>
      <c r="D1071" s="20" t="s">
        <v>30</v>
      </c>
      <c r="E1071" s="21" t="s">
        <v>76</v>
      </c>
      <c r="F1071" s="22">
        <v>10.99</v>
      </c>
      <c r="G1071" s="22">
        <f>F1071-'Estatística'!$D$6/'Estatística'!$D$10</f>
        <v>9.986980371</v>
      </c>
      <c r="H1071" s="23">
        <v>45123.0</v>
      </c>
      <c r="I1071" s="24" t="str">
        <f t="shared" si="1"/>
        <v>jul.</v>
      </c>
      <c r="O1071" s="8"/>
    </row>
    <row r="1072" ht="15.75" customHeight="1">
      <c r="A1072" s="9">
        <v>59.0</v>
      </c>
      <c r="B1072" s="9" t="s">
        <v>103</v>
      </c>
      <c r="C1072" s="9" t="s">
        <v>104</v>
      </c>
      <c r="D1072" s="10" t="s">
        <v>30</v>
      </c>
      <c r="E1072" s="11" t="s">
        <v>97</v>
      </c>
      <c r="F1072" s="12">
        <v>2.49</v>
      </c>
      <c r="G1072" s="12">
        <f>F1072-'Estatística'!$D$6/'Estatística'!$D$10</f>
        <v>1.486980371</v>
      </c>
      <c r="H1072" s="13">
        <v>45123.0</v>
      </c>
      <c r="I1072" s="14" t="str">
        <f t="shared" si="1"/>
        <v>jul.</v>
      </c>
      <c r="O1072" s="8"/>
    </row>
    <row r="1073" ht="15.75" customHeight="1">
      <c r="A1073" s="19">
        <v>20.0</v>
      </c>
      <c r="B1073" s="19" t="s">
        <v>161</v>
      </c>
      <c r="C1073" s="19" t="s">
        <v>162</v>
      </c>
      <c r="D1073" s="20" t="s">
        <v>30</v>
      </c>
      <c r="E1073" s="21" t="s">
        <v>85</v>
      </c>
      <c r="F1073" s="22">
        <v>12.23</v>
      </c>
      <c r="G1073" s="22">
        <f>F1073-'Estatística'!$D$6/'Estatística'!$D$10</f>
        <v>11.22698037</v>
      </c>
      <c r="H1073" s="23">
        <v>45124.0</v>
      </c>
      <c r="I1073" s="24" t="str">
        <f t="shared" si="1"/>
        <v>jul.</v>
      </c>
      <c r="O1073" s="8"/>
    </row>
    <row r="1074" ht="15.75" customHeight="1">
      <c r="A1074" s="9">
        <v>33.0</v>
      </c>
      <c r="B1074" s="9" t="s">
        <v>191</v>
      </c>
      <c r="C1074" s="9" t="s">
        <v>192</v>
      </c>
      <c r="D1074" s="10" t="s">
        <v>11</v>
      </c>
      <c r="E1074" s="11" t="s">
        <v>79</v>
      </c>
      <c r="F1074" s="12">
        <v>38.58</v>
      </c>
      <c r="G1074" s="12">
        <f>F1074-'Estatística'!$D$6/'Estatística'!$D$10</f>
        <v>37.57698037</v>
      </c>
      <c r="H1074" s="13">
        <v>45124.0</v>
      </c>
      <c r="I1074" s="14" t="str">
        <f t="shared" si="1"/>
        <v>jul.</v>
      </c>
      <c r="O1074" s="8"/>
    </row>
    <row r="1075" ht="15.75" customHeight="1">
      <c r="A1075" s="19">
        <v>45.0</v>
      </c>
      <c r="B1075" s="19" t="s">
        <v>221</v>
      </c>
      <c r="C1075" s="19" t="s">
        <v>222</v>
      </c>
      <c r="D1075" s="20" t="s">
        <v>30</v>
      </c>
      <c r="E1075" s="21" t="s">
        <v>52</v>
      </c>
      <c r="F1075" s="22">
        <v>63.55</v>
      </c>
      <c r="G1075" s="22">
        <f>F1075-'Estatística'!$D$6/'Estatística'!$D$10</f>
        <v>62.54698037</v>
      </c>
      <c r="H1075" s="23">
        <v>45124.0</v>
      </c>
      <c r="I1075" s="24" t="str">
        <f t="shared" si="1"/>
        <v>jul.</v>
      </c>
      <c r="O1075" s="8"/>
    </row>
    <row r="1076" ht="15.75" customHeight="1">
      <c r="A1076" s="9">
        <v>86.0</v>
      </c>
      <c r="B1076" s="9" t="s">
        <v>62</v>
      </c>
      <c r="C1076" s="9" t="s">
        <v>63</v>
      </c>
      <c r="D1076" s="10" t="s">
        <v>11</v>
      </c>
      <c r="E1076" s="11" t="s">
        <v>82</v>
      </c>
      <c r="F1076" s="12">
        <v>13.69</v>
      </c>
      <c r="G1076" s="12">
        <f>F1076-'Estatística'!$D$6/'Estatística'!$D$10</f>
        <v>12.68698037</v>
      </c>
      <c r="H1076" s="13">
        <v>45124.0</v>
      </c>
      <c r="I1076" s="14" t="str">
        <f t="shared" si="1"/>
        <v>jul.</v>
      </c>
      <c r="O1076" s="8"/>
    </row>
    <row r="1077" ht="15.75" customHeight="1">
      <c r="A1077" s="19">
        <v>91.0</v>
      </c>
      <c r="B1077" s="19" t="s">
        <v>112</v>
      </c>
      <c r="C1077" s="19" t="s">
        <v>113</v>
      </c>
      <c r="D1077" s="20" t="s">
        <v>30</v>
      </c>
      <c r="E1077" s="21" t="s">
        <v>91</v>
      </c>
      <c r="F1077" s="22">
        <v>3.22</v>
      </c>
      <c r="G1077" s="22">
        <f>F1077-'Estatística'!$D$6/'Estatística'!$D$10</f>
        <v>2.216980371</v>
      </c>
      <c r="H1077" s="23">
        <v>45124.0</v>
      </c>
      <c r="I1077" s="24" t="str">
        <f t="shared" si="1"/>
        <v>jul.</v>
      </c>
      <c r="O1077" s="8"/>
    </row>
    <row r="1078" ht="15.75" customHeight="1">
      <c r="A1078" s="9">
        <v>1.0</v>
      </c>
      <c r="B1078" s="9" t="s">
        <v>194</v>
      </c>
      <c r="C1078" s="9" t="s">
        <v>195</v>
      </c>
      <c r="D1078" s="10" t="s">
        <v>11</v>
      </c>
      <c r="E1078" s="11" t="s">
        <v>52</v>
      </c>
      <c r="F1078" s="12">
        <v>68.56</v>
      </c>
      <c r="G1078" s="12">
        <f>F1078-'Estatística'!$D$6/'Estatística'!$D$10</f>
        <v>67.55698037</v>
      </c>
      <c r="H1078" s="13">
        <v>45124.0</v>
      </c>
      <c r="I1078" s="14" t="str">
        <f t="shared" si="1"/>
        <v>jul.</v>
      </c>
      <c r="O1078" s="8"/>
    </row>
    <row r="1079" ht="15.75" customHeight="1">
      <c r="A1079" s="19">
        <v>23.0</v>
      </c>
      <c r="B1079" s="19" t="s">
        <v>235</v>
      </c>
      <c r="C1079" s="19" t="s">
        <v>236</v>
      </c>
      <c r="D1079" s="20" t="s">
        <v>30</v>
      </c>
      <c r="E1079" s="21" t="s">
        <v>91</v>
      </c>
      <c r="F1079" s="22">
        <v>2.81</v>
      </c>
      <c r="G1079" s="22">
        <f>F1079-'Estatística'!$D$6/'Estatística'!$D$10</f>
        <v>1.806980371</v>
      </c>
      <c r="H1079" s="23">
        <v>45125.0</v>
      </c>
      <c r="I1079" s="24" t="str">
        <f t="shared" si="1"/>
        <v>jul.</v>
      </c>
      <c r="O1079" s="8"/>
    </row>
    <row r="1080" ht="15.75" customHeight="1">
      <c r="A1080" s="9">
        <v>58.0</v>
      </c>
      <c r="B1080" s="9" t="s">
        <v>165</v>
      </c>
      <c r="C1080" s="9" t="s">
        <v>166</v>
      </c>
      <c r="D1080" s="10" t="s">
        <v>30</v>
      </c>
      <c r="E1080" s="11" t="s">
        <v>56</v>
      </c>
      <c r="F1080" s="12">
        <v>60.74</v>
      </c>
      <c r="G1080" s="12">
        <f>F1080-'Estatística'!$D$6/'Estatística'!$D$10</f>
        <v>59.73698037</v>
      </c>
      <c r="H1080" s="13">
        <v>45125.0</v>
      </c>
      <c r="I1080" s="14" t="str">
        <f t="shared" si="1"/>
        <v>jul.</v>
      </c>
      <c r="O1080" s="8"/>
    </row>
    <row r="1081" ht="15.75" customHeight="1">
      <c r="A1081" s="19">
        <v>25.0</v>
      </c>
      <c r="B1081" s="19" t="s">
        <v>154</v>
      </c>
      <c r="C1081" s="19" t="s">
        <v>155</v>
      </c>
      <c r="D1081" s="20" t="s">
        <v>30</v>
      </c>
      <c r="E1081" s="21" t="s">
        <v>31</v>
      </c>
      <c r="F1081" s="22">
        <v>52.25</v>
      </c>
      <c r="G1081" s="22">
        <f>F1081-'Estatística'!$D$6/'Estatística'!$D$10</f>
        <v>51.24698037</v>
      </c>
      <c r="H1081" s="23">
        <v>45125.0</v>
      </c>
      <c r="I1081" s="24" t="str">
        <f t="shared" si="1"/>
        <v>jul.</v>
      </c>
      <c r="O1081" s="8"/>
    </row>
    <row r="1082" ht="15.75" customHeight="1">
      <c r="A1082" s="9">
        <v>24.0</v>
      </c>
      <c r="B1082" s="9" t="s">
        <v>139</v>
      </c>
      <c r="C1082" s="9" t="s">
        <v>140</v>
      </c>
      <c r="D1082" s="10" t="s">
        <v>11</v>
      </c>
      <c r="E1082" s="11" t="s">
        <v>68</v>
      </c>
      <c r="F1082" s="12">
        <v>16.59</v>
      </c>
      <c r="G1082" s="12">
        <f>F1082-'Estatística'!$D$6/'Estatística'!$D$10</f>
        <v>15.58698037</v>
      </c>
      <c r="H1082" s="13">
        <v>45125.0</v>
      </c>
      <c r="I1082" s="14" t="str">
        <f t="shared" si="1"/>
        <v>jul.</v>
      </c>
      <c r="O1082" s="8"/>
    </row>
    <row r="1083" ht="15.75" customHeight="1">
      <c r="A1083" s="19">
        <v>88.0</v>
      </c>
      <c r="B1083" s="19" t="s">
        <v>200</v>
      </c>
      <c r="C1083" s="19" t="s">
        <v>206</v>
      </c>
      <c r="D1083" s="20" t="s">
        <v>30</v>
      </c>
      <c r="E1083" s="21" t="s">
        <v>68</v>
      </c>
      <c r="F1083" s="22">
        <v>8.52</v>
      </c>
      <c r="G1083" s="22">
        <f>F1083-'Estatística'!$D$6/'Estatística'!$D$10</f>
        <v>7.516980371</v>
      </c>
      <c r="H1083" s="23">
        <v>45125.0</v>
      </c>
      <c r="I1083" s="24" t="str">
        <f t="shared" si="1"/>
        <v>jul.</v>
      </c>
      <c r="O1083" s="8"/>
    </row>
    <row r="1084" ht="15.75" customHeight="1">
      <c r="A1084" s="9">
        <v>47.0</v>
      </c>
      <c r="B1084" s="9" t="s">
        <v>120</v>
      </c>
      <c r="C1084" s="9" t="s">
        <v>121</v>
      </c>
      <c r="D1084" s="10" t="s">
        <v>11</v>
      </c>
      <c r="E1084" s="11" t="s">
        <v>52</v>
      </c>
      <c r="F1084" s="12">
        <v>58.77</v>
      </c>
      <c r="G1084" s="12">
        <f>F1084-'Estatística'!$D$6/'Estatística'!$D$10</f>
        <v>57.76698037</v>
      </c>
      <c r="H1084" s="13">
        <v>45126.0</v>
      </c>
      <c r="I1084" s="14" t="str">
        <f t="shared" si="1"/>
        <v>jul.</v>
      </c>
      <c r="O1084" s="8"/>
    </row>
    <row r="1085" ht="15.75" customHeight="1">
      <c r="A1085" s="19">
        <v>76.0</v>
      </c>
      <c r="B1085" s="19" t="s">
        <v>213</v>
      </c>
      <c r="C1085" s="19" t="s">
        <v>214</v>
      </c>
      <c r="D1085" s="20" t="s">
        <v>11</v>
      </c>
      <c r="E1085" s="21" t="s">
        <v>31</v>
      </c>
      <c r="F1085" s="22">
        <v>43.53</v>
      </c>
      <c r="G1085" s="22">
        <f>F1085-'Estatística'!$D$6/'Estatística'!$D$10</f>
        <v>42.52698037</v>
      </c>
      <c r="H1085" s="23">
        <v>45126.0</v>
      </c>
      <c r="I1085" s="24" t="str">
        <f t="shared" si="1"/>
        <v>jul.</v>
      </c>
      <c r="O1085" s="8"/>
    </row>
    <row r="1086" ht="15.75" customHeight="1">
      <c r="A1086" s="9">
        <v>89.0</v>
      </c>
      <c r="B1086" s="9" t="s">
        <v>135</v>
      </c>
      <c r="C1086" s="9" t="s">
        <v>136</v>
      </c>
      <c r="D1086" s="10" t="s">
        <v>30</v>
      </c>
      <c r="E1086" s="11" t="s">
        <v>56</v>
      </c>
      <c r="F1086" s="12">
        <v>78.34</v>
      </c>
      <c r="G1086" s="12">
        <f>F1086-'Estatística'!$D$6/'Estatística'!$D$10</f>
        <v>77.33698037</v>
      </c>
      <c r="H1086" s="13">
        <v>45126.0</v>
      </c>
      <c r="I1086" s="14" t="str">
        <f t="shared" si="1"/>
        <v>jul.</v>
      </c>
      <c r="O1086" s="8"/>
    </row>
    <row r="1087" ht="15.75" customHeight="1">
      <c r="A1087" s="19">
        <v>1.0</v>
      </c>
      <c r="B1087" s="19" t="s">
        <v>194</v>
      </c>
      <c r="C1087" s="19" t="s">
        <v>195</v>
      </c>
      <c r="D1087" s="20" t="s">
        <v>11</v>
      </c>
      <c r="E1087" s="21" t="s">
        <v>68</v>
      </c>
      <c r="F1087" s="22">
        <v>8.52</v>
      </c>
      <c r="G1087" s="22">
        <f>F1087-'Estatística'!$D$6/'Estatística'!$D$10</f>
        <v>7.516980371</v>
      </c>
      <c r="H1087" s="23">
        <v>45126.0</v>
      </c>
      <c r="I1087" s="24" t="str">
        <f t="shared" si="1"/>
        <v>jul.</v>
      </c>
      <c r="O1087" s="8"/>
    </row>
    <row r="1088" ht="15.75" customHeight="1">
      <c r="A1088" s="9">
        <v>54.0</v>
      </c>
      <c r="B1088" s="9" t="s">
        <v>86</v>
      </c>
      <c r="C1088" s="9" t="s">
        <v>87</v>
      </c>
      <c r="D1088" s="10" t="s">
        <v>30</v>
      </c>
      <c r="E1088" s="11" t="s">
        <v>35</v>
      </c>
      <c r="F1088" s="12">
        <v>20.45</v>
      </c>
      <c r="G1088" s="12">
        <f>F1088-'Estatística'!$D$6/'Estatística'!$D$10</f>
        <v>19.44698037</v>
      </c>
      <c r="H1088" s="13">
        <v>45126.0</v>
      </c>
      <c r="I1088" s="14" t="str">
        <f t="shared" si="1"/>
        <v>jul.</v>
      </c>
      <c r="O1088" s="8"/>
    </row>
    <row r="1089" ht="15.75" customHeight="1">
      <c r="A1089" s="19">
        <v>17.0</v>
      </c>
      <c r="B1089" s="19" t="s">
        <v>200</v>
      </c>
      <c r="C1089" s="19" t="s">
        <v>201</v>
      </c>
      <c r="D1089" s="20" t="s">
        <v>30</v>
      </c>
      <c r="E1089" s="21" t="s">
        <v>60</v>
      </c>
      <c r="F1089" s="22">
        <v>56.72</v>
      </c>
      <c r="G1089" s="22">
        <f>F1089-'Estatística'!$D$6/'Estatística'!$D$10</f>
        <v>55.71698037</v>
      </c>
      <c r="H1089" s="23">
        <v>45126.0</v>
      </c>
      <c r="I1089" s="24" t="str">
        <f t="shared" si="1"/>
        <v>jul.</v>
      </c>
      <c r="O1089" s="8"/>
    </row>
    <row r="1090" ht="15.75" customHeight="1">
      <c r="A1090" s="9">
        <v>46.0</v>
      </c>
      <c r="B1090" s="9" t="s">
        <v>143</v>
      </c>
      <c r="C1090" s="9" t="s">
        <v>144</v>
      </c>
      <c r="D1090" s="10" t="s">
        <v>30</v>
      </c>
      <c r="E1090" s="11" t="s">
        <v>60</v>
      </c>
      <c r="F1090" s="12">
        <v>48.37</v>
      </c>
      <c r="G1090" s="12">
        <f>F1090-'Estatística'!$D$6/'Estatística'!$D$10</f>
        <v>47.36698037</v>
      </c>
      <c r="H1090" s="13">
        <v>45127.0</v>
      </c>
      <c r="I1090" s="14" t="str">
        <f t="shared" si="1"/>
        <v>jul.</v>
      </c>
      <c r="O1090" s="8"/>
    </row>
    <row r="1091" ht="15.75" customHeight="1">
      <c r="A1091" s="19">
        <v>85.0</v>
      </c>
      <c r="B1091" s="19" t="s">
        <v>198</v>
      </c>
      <c r="C1091" s="19" t="s">
        <v>199</v>
      </c>
      <c r="D1091" s="20" t="s">
        <v>30</v>
      </c>
      <c r="E1091" s="21" t="s">
        <v>12</v>
      </c>
      <c r="F1091" s="22">
        <v>10.5</v>
      </c>
      <c r="G1091" s="22">
        <f>F1091-'Estatística'!$D$6/'Estatística'!$D$10</f>
        <v>9.496980371</v>
      </c>
      <c r="H1091" s="23">
        <v>45127.0</v>
      </c>
      <c r="I1091" s="24" t="str">
        <f t="shared" si="1"/>
        <v>jul.</v>
      </c>
      <c r="O1091" s="8"/>
    </row>
    <row r="1092" ht="15.75" customHeight="1">
      <c r="A1092" s="9">
        <v>94.0</v>
      </c>
      <c r="B1092" s="9" t="s">
        <v>207</v>
      </c>
      <c r="C1092" s="9" t="s">
        <v>237</v>
      </c>
      <c r="D1092" s="10" t="s">
        <v>30</v>
      </c>
      <c r="E1092" s="11" t="s">
        <v>12</v>
      </c>
      <c r="F1092" s="12">
        <v>10.72</v>
      </c>
      <c r="G1092" s="12">
        <f>F1092-'Estatística'!$D$6/'Estatística'!$D$10</f>
        <v>9.716980371</v>
      </c>
      <c r="H1092" s="13">
        <v>45127.0</v>
      </c>
      <c r="I1092" s="14" t="str">
        <f t="shared" si="1"/>
        <v>jul.</v>
      </c>
      <c r="O1092" s="8"/>
    </row>
    <row r="1093" ht="15.75" customHeight="1">
      <c r="A1093" s="19">
        <v>61.0</v>
      </c>
      <c r="B1093" s="19" t="s">
        <v>106</v>
      </c>
      <c r="C1093" s="19" t="s">
        <v>107</v>
      </c>
      <c r="D1093" s="20" t="s">
        <v>11</v>
      </c>
      <c r="E1093" s="21" t="s">
        <v>76</v>
      </c>
      <c r="F1093" s="22">
        <v>11.19</v>
      </c>
      <c r="G1093" s="22">
        <f>F1093-'Estatística'!$D$6/'Estatística'!$D$10</f>
        <v>10.18698037</v>
      </c>
      <c r="H1093" s="23">
        <v>45127.0</v>
      </c>
      <c r="I1093" s="24" t="str">
        <f t="shared" si="1"/>
        <v>jul.</v>
      </c>
      <c r="O1093" s="8"/>
    </row>
    <row r="1094" ht="15.75" customHeight="1">
      <c r="A1094" s="9">
        <v>36.0</v>
      </c>
      <c r="B1094" s="9" t="s">
        <v>92</v>
      </c>
      <c r="C1094" s="9" t="s">
        <v>93</v>
      </c>
      <c r="D1094" s="10" t="s">
        <v>30</v>
      </c>
      <c r="E1094" s="11" t="s">
        <v>50</v>
      </c>
      <c r="F1094" s="12">
        <v>30.02</v>
      </c>
      <c r="G1094" s="12">
        <f>F1094-'Estatística'!$D$6/'Estatística'!$D$10</f>
        <v>29.01698037</v>
      </c>
      <c r="H1094" s="13">
        <v>45128.0</v>
      </c>
      <c r="I1094" s="14" t="str">
        <f t="shared" si="1"/>
        <v>jul.</v>
      </c>
      <c r="O1094" s="8"/>
    </row>
    <row r="1095" ht="15.75" customHeight="1">
      <c r="A1095" s="19">
        <v>92.0</v>
      </c>
      <c r="B1095" s="19" t="s">
        <v>112</v>
      </c>
      <c r="C1095" s="19" t="s">
        <v>197</v>
      </c>
      <c r="D1095" s="20" t="s">
        <v>30</v>
      </c>
      <c r="E1095" s="21" t="s">
        <v>50</v>
      </c>
      <c r="F1095" s="22">
        <v>22.15</v>
      </c>
      <c r="G1095" s="22">
        <f>F1095-'Estatística'!$D$6/'Estatística'!$D$10</f>
        <v>21.14698037</v>
      </c>
      <c r="H1095" s="23">
        <v>45128.0</v>
      </c>
      <c r="I1095" s="24" t="str">
        <f t="shared" si="1"/>
        <v>jul.</v>
      </c>
      <c r="O1095" s="8"/>
    </row>
    <row r="1096" ht="15.75" customHeight="1">
      <c r="A1096" s="9">
        <v>58.0</v>
      </c>
      <c r="B1096" s="9" t="s">
        <v>165</v>
      </c>
      <c r="C1096" s="9" t="s">
        <v>166</v>
      </c>
      <c r="D1096" s="10" t="s">
        <v>30</v>
      </c>
      <c r="E1096" s="11" t="s">
        <v>35</v>
      </c>
      <c r="F1096" s="12">
        <v>21.46</v>
      </c>
      <c r="G1096" s="12">
        <f>F1096-'Estatística'!$D$6/'Estatística'!$D$10</f>
        <v>20.45698037</v>
      </c>
      <c r="H1096" s="13">
        <v>45128.0</v>
      </c>
      <c r="I1096" s="14" t="str">
        <f t="shared" si="1"/>
        <v>jul.</v>
      </c>
      <c r="O1096" s="8"/>
    </row>
    <row r="1097" ht="15.75" customHeight="1">
      <c r="A1097" s="19">
        <v>25.0</v>
      </c>
      <c r="B1097" s="19" t="s">
        <v>154</v>
      </c>
      <c r="C1097" s="19" t="s">
        <v>155</v>
      </c>
      <c r="D1097" s="20" t="s">
        <v>30</v>
      </c>
      <c r="E1097" s="21" t="s">
        <v>46</v>
      </c>
      <c r="F1097" s="22">
        <v>14.96</v>
      </c>
      <c r="G1097" s="22">
        <f>F1097-'Estatística'!$D$6/'Estatística'!$D$10</f>
        <v>13.95698037</v>
      </c>
      <c r="H1097" s="23">
        <v>45129.0</v>
      </c>
      <c r="I1097" s="24" t="str">
        <f t="shared" si="1"/>
        <v>jul.</v>
      </c>
      <c r="O1097" s="8"/>
    </row>
    <row r="1098" ht="15.75" customHeight="1">
      <c r="A1098" s="9">
        <v>22.0</v>
      </c>
      <c r="B1098" s="9" t="s">
        <v>131</v>
      </c>
      <c r="C1098" s="9" t="s">
        <v>132</v>
      </c>
      <c r="D1098" s="10" t="s">
        <v>30</v>
      </c>
      <c r="E1098" s="11" t="s">
        <v>76</v>
      </c>
      <c r="F1098" s="12">
        <v>11.03</v>
      </c>
      <c r="G1098" s="12">
        <f>F1098-'Estatística'!$D$6/'Estatística'!$D$10</f>
        <v>10.02698037</v>
      </c>
      <c r="H1098" s="13">
        <v>45129.0</v>
      </c>
      <c r="I1098" s="14" t="str">
        <f t="shared" si="1"/>
        <v>jul.</v>
      </c>
      <c r="O1098" s="8"/>
    </row>
    <row r="1099" ht="15.75" customHeight="1">
      <c r="A1099" s="19">
        <v>88.0</v>
      </c>
      <c r="B1099" s="19" t="s">
        <v>200</v>
      </c>
      <c r="C1099" s="19" t="s">
        <v>206</v>
      </c>
      <c r="D1099" s="20" t="s">
        <v>30</v>
      </c>
      <c r="E1099" s="21" t="s">
        <v>31</v>
      </c>
      <c r="F1099" s="22">
        <v>36.26</v>
      </c>
      <c r="G1099" s="22">
        <f>F1099-'Estatística'!$D$6/'Estatística'!$D$10</f>
        <v>35.25698037</v>
      </c>
      <c r="H1099" s="23">
        <v>45129.0</v>
      </c>
      <c r="I1099" s="24" t="str">
        <f t="shared" si="1"/>
        <v>jul.</v>
      </c>
      <c r="O1099" s="8"/>
    </row>
    <row r="1100" ht="15.75" customHeight="1">
      <c r="A1100" s="9">
        <v>8.0</v>
      </c>
      <c r="B1100" s="9" t="s">
        <v>108</v>
      </c>
      <c r="C1100" s="9" t="s">
        <v>109</v>
      </c>
      <c r="D1100" s="10" t="s">
        <v>30</v>
      </c>
      <c r="E1100" s="11" t="s">
        <v>56</v>
      </c>
      <c r="F1100" s="12">
        <v>62.55</v>
      </c>
      <c r="G1100" s="12">
        <f>F1100-'Estatística'!$D$6/'Estatística'!$D$10</f>
        <v>61.54698037</v>
      </c>
      <c r="H1100" s="13">
        <v>45129.0</v>
      </c>
      <c r="I1100" s="14" t="str">
        <f t="shared" si="1"/>
        <v>jul.</v>
      </c>
      <c r="O1100" s="8"/>
    </row>
    <row r="1101" ht="15.75" customHeight="1">
      <c r="A1101" s="19">
        <v>16.0</v>
      </c>
      <c r="B1101" s="19" t="s">
        <v>175</v>
      </c>
      <c r="C1101" s="19" t="s">
        <v>176</v>
      </c>
      <c r="D1101" s="20" t="s">
        <v>11</v>
      </c>
      <c r="E1101" s="21" t="s">
        <v>79</v>
      </c>
      <c r="F1101" s="22">
        <v>32.68</v>
      </c>
      <c r="G1101" s="22">
        <f>F1101-'Estatística'!$D$6/'Estatística'!$D$10</f>
        <v>31.67698037</v>
      </c>
      <c r="H1101" s="23">
        <v>45130.0</v>
      </c>
      <c r="I1101" s="24" t="str">
        <f t="shared" si="1"/>
        <v>jul.</v>
      </c>
      <c r="O1101" s="8"/>
    </row>
    <row r="1102" ht="15.75" customHeight="1">
      <c r="A1102" s="9">
        <v>44.0</v>
      </c>
      <c r="B1102" s="9" t="s">
        <v>215</v>
      </c>
      <c r="C1102" s="9" t="s">
        <v>216</v>
      </c>
      <c r="D1102" s="10" t="s">
        <v>30</v>
      </c>
      <c r="E1102" s="11" t="s">
        <v>79</v>
      </c>
      <c r="F1102" s="12">
        <v>36.54</v>
      </c>
      <c r="G1102" s="12">
        <f>F1102-'Estatística'!$D$6/'Estatística'!$D$10</f>
        <v>35.53698037</v>
      </c>
      <c r="H1102" s="13">
        <v>45130.0</v>
      </c>
      <c r="I1102" s="14" t="str">
        <f t="shared" si="1"/>
        <v>jul.</v>
      </c>
      <c r="O1102" s="8"/>
    </row>
    <row r="1103" ht="15.75" customHeight="1">
      <c r="A1103" s="19">
        <v>72.0</v>
      </c>
      <c r="B1103" s="19" t="s">
        <v>133</v>
      </c>
      <c r="C1103" s="19" t="s">
        <v>134</v>
      </c>
      <c r="D1103" s="20" t="s">
        <v>11</v>
      </c>
      <c r="E1103" s="21" t="s">
        <v>12</v>
      </c>
      <c r="F1103" s="22">
        <v>10.59</v>
      </c>
      <c r="G1103" s="22">
        <f>F1103-'Estatística'!$D$6/'Estatística'!$D$10</f>
        <v>9.586980371</v>
      </c>
      <c r="H1103" s="23">
        <v>45130.0</v>
      </c>
      <c r="I1103" s="24" t="str">
        <f t="shared" si="1"/>
        <v>jul.</v>
      </c>
      <c r="O1103" s="8"/>
    </row>
    <row r="1104" ht="15.75" customHeight="1">
      <c r="A1104" s="9">
        <v>80.0</v>
      </c>
      <c r="B1104" s="9" t="s">
        <v>37</v>
      </c>
      <c r="C1104" s="9" t="s">
        <v>38</v>
      </c>
      <c r="D1104" s="10" t="s">
        <v>11</v>
      </c>
      <c r="E1104" s="11" t="s">
        <v>60</v>
      </c>
      <c r="F1104" s="12">
        <v>49.73</v>
      </c>
      <c r="G1104" s="12">
        <f>F1104-'Estatística'!$D$6/'Estatística'!$D$10</f>
        <v>48.72698037</v>
      </c>
      <c r="H1104" s="13">
        <v>45130.0</v>
      </c>
      <c r="I1104" s="14" t="str">
        <f t="shared" si="1"/>
        <v>jul.</v>
      </c>
      <c r="O1104" s="8"/>
    </row>
    <row r="1105" ht="15.75" customHeight="1">
      <c r="A1105" s="19">
        <v>85.0</v>
      </c>
      <c r="B1105" s="19" t="s">
        <v>198</v>
      </c>
      <c r="C1105" s="19" t="s">
        <v>199</v>
      </c>
      <c r="D1105" s="20" t="s">
        <v>11</v>
      </c>
      <c r="E1105" s="21" t="s">
        <v>97</v>
      </c>
      <c r="F1105" s="22">
        <v>2.95</v>
      </c>
      <c r="G1105" s="22">
        <f>F1105-'Estatística'!$D$6/'Estatística'!$D$10</f>
        <v>1.946980371</v>
      </c>
      <c r="H1105" s="23">
        <v>45130.0</v>
      </c>
      <c r="I1105" s="24" t="str">
        <f t="shared" si="1"/>
        <v>jul.</v>
      </c>
      <c r="O1105" s="8"/>
    </row>
    <row r="1106" ht="15.75" customHeight="1">
      <c r="A1106" s="9">
        <v>28.0</v>
      </c>
      <c r="B1106" s="9" t="s">
        <v>77</v>
      </c>
      <c r="C1106" s="9" t="s">
        <v>78</v>
      </c>
      <c r="D1106" s="10" t="s">
        <v>11</v>
      </c>
      <c r="E1106" s="11" t="s">
        <v>12</v>
      </c>
      <c r="F1106" s="12">
        <v>10.81</v>
      </c>
      <c r="G1106" s="12">
        <f>F1106-'Estatística'!$D$6/'Estatística'!$D$10</f>
        <v>9.806980371</v>
      </c>
      <c r="H1106" s="13">
        <v>45130.0</v>
      </c>
      <c r="I1106" s="14" t="str">
        <f t="shared" si="1"/>
        <v>jul.</v>
      </c>
      <c r="O1106" s="8"/>
    </row>
    <row r="1107" ht="15.75" customHeight="1">
      <c r="A1107" s="19">
        <v>40.0</v>
      </c>
      <c r="B1107" s="19" t="s">
        <v>122</v>
      </c>
      <c r="C1107" s="19" t="s">
        <v>185</v>
      </c>
      <c r="D1107" s="20" t="s">
        <v>11</v>
      </c>
      <c r="E1107" s="21" t="s">
        <v>39</v>
      </c>
      <c r="F1107" s="22">
        <v>24.98</v>
      </c>
      <c r="G1107" s="22">
        <f>F1107-'Estatística'!$D$6/'Estatística'!$D$10</f>
        <v>23.97698037</v>
      </c>
      <c r="H1107" s="23">
        <v>45131.0</v>
      </c>
      <c r="I1107" s="24" t="str">
        <f t="shared" si="1"/>
        <v>jul.</v>
      </c>
      <c r="O1107" s="8"/>
    </row>
    <row r="1108" ht="15.75" customHeight="1">
      <c r="A1108" s="9">
        <v>36.0</v>
      </c>
      <c r="B1108" s="9" t="s">
        <v>92</v>
      </c>
      <c r="C1108" s="9" t="s">
        <v>93</v>
      </c>
      <c r="D1108" s="10" t="s">
        <v>30</v>
      </c>
      <c r="E1108" s="11" t="s">
        <v>88</v>
      </c>
      <c r="F1108" s="12">
        <v>39.02</v>
      </c>
      <c r="G1108" s="12">
        <f>F1108-'Estatística'!$D$6/'Estatística'!$D$10</f>
        <v>38.01698037</v>
      </c>
      <c r="H1108" s="13">
        <v>45131.0</v>
      </c>
      <c r="I1108" s="14" t="str">
        <f t="shared" si="1"/>
        <v>jul.</v>
      </c>
      <c r="O1108" s="8"/>
    </row>
    <row r="1109" ht="15.75" customHeight="1">
      <c r="A1109" s="19">
        <v>91.0</v>
      </c>
      <c r="B1109" s="19" t="s">
        <v>112</v>
      </c>
      <c r="C1109" s="19" t="s">
        <v>113</v>
      </c>
      <c r="D1109" s="20" t="s">
        <v>30</v>
      </c>
      <c r="E1109" s="21" t="s">
        <v>52</v>
      </c>
      <c r="F1109" s="22">
        <v>61.21</v>
      </c>
      <c r="G1109" s="22">
        <f>F1109-'Estatística'!$D$6/'Estatística'!$D$10</f>
        <v>60.20698037</v>
      </c>
      <c r="H1109" s="23">
        <v>45131.0</v>
      </c>
      <c r="I1109" s="24" t="str">
        <f t="shared" si="1"/>
        <v>jul.</v>
      </c>
      <c r="O1109" s="8"/>
    </row>
    <row r="1110" ht="15.75" customHeight="1">
      <c r="A1110" s="9">
        <v>61.0</v>
      </c>
      <c r="B1110" s="9" t="s">
        <v>106</v>
      </c>
      <c r="C1110" s="9" t="s">
        <v>107</v>
      </c>
      <c r="D1110" s="10" t="s">
        <v>30</v>
      </c>
      <c r="E1110" s="11" t="s">
        <v>79</v>
      </c>
      <c r="F1110" s="12">
        <v>27.17</v>
      </c>
      <c r="G1110" s="12">
        <f>F1110-'Estatística'!$D$6/'Estatística'!$D$10</f>
        <v>26.16698037</v>
      </c>
      <c r="H1110" s="13">
        <v>45131.0</v>
      </c>
      <c r="I1110" s="14" t="str">
        <f t="shared" si="1"/>
        <v>jul.</v>
      </c>
      <c r="O1110" s="8"/>
    </row>
    <row r="1111" ht="15.75" customHeight="1">
      <c r="A1111" s="19">
        <v>91.0</v>
      </c>
      <c r="B1111" s="19" t="s">
        <v>112</v>
      </c>
      <c r="C1111" s="19" t="s">
        <v>113</v>
      </c>
      <c r="D1111" s="20" t="s">
        <v>11</v>
      </c>
      <c r="E1111" s="21" t="s">
        <v>31</v>
      </c>
      <c r="F1111" s="22">
        <v>53.14</v>
      </c>
      <c r="G1111" s="22">
        <f>F1111-'Estatística'!$D$6/'Estatística'!$D$10</f>
        <v>52.13698037</v>
      </c>
      <c r="H1111" s="23">
        <v>45131.0</v>
      </c>
      <c r="I1111" s="24" t="str">
        <f t="shared" si="1"/>
        <v>jul.</v>
      </c>
      <c r="O1111" s="8"/>
    </row>
    <row r="1112" ht="15.75" customHeight="1">
      <c r="A1112" s="9">
        <v>92.0</v>
      </c>
      <c r="B1112" s="9" t="s">
        <v>112</v>
      </c>
      <c r="C1112" s="9" t="s">
        <v>197</v>
      </c>
      <c r="D1112" s="10" t="s">
        <v>30</v>
      </c>
      <c r="E1112" s="11" t="s">
        <v>35</v>
      </c>
      <c r="F1112" s="12">
        <v>12.37</v>
      </c>
      <c r="G1112" s="12">
        <f>F1112-'Estatística'!$D$6/'Estatística'!$D$10</f>
        <v>11.36698037</v>
      </c>
      <c r="H1112" s="13">
        <v>45131.0</v>
      </c>
      <c r="I1112" s="14" t="str">
        <f t="shared" si="1"/>
        <v>jul.</v>
      </c>
      <c r="O1112" s="8"/>
    </row>
    <row r="1113" ht="15.75" customHeight="1">
      <c r="A1113" s="19">
        <v>2.0</v>
      </c>
      <c r="B1113" s="19" t="s">
        <v>83</v>
      </c>
      <c r="C1113" s="19" t="s">
        <v>84</v>
      </c>
      <c r="D1113" s="20" t="s">
        <v>30</v>
      </c>
      <c r="E1113" s="21" t="s">
        <v>43</v>
      </c>
      <c r="F1113" s="22">
        <v>17.61</v>
      </c>
      <c r="G1113" s="22">
        <f>F1113-'Estatística'!$D$6/'Estatística'!$D$10</f>
        <v>16.60698037</v>
      </c>
      <c r="H1113" s="23">
        <v>45131.0</v>
      </c>
      <c r="I1113" s="24" t="str">
        <f t="shared" si="1"/>
        <v>jul.</v>
      </c>
      <c r="O1113" s="8"/>
    </row>
    <row r="1114" ht="15.75" customHeight="1">
      <c r="A1114" s="9">
        <v>9.0</v>
      </c>
      <c r="B1114" s="9" t="s">
        <v>207</v>
      </c>
      <c r="C1114" s="9" t="s">
        <v>208</v>
      </c>
      <c r="D1114" s="10" t="s">
        <v>30</v>
      </c>
      <c r="E1114" s="11" t="s">
        <v>88</v>
      </c>
      <c r="F1114" s="12">
        <v>41.09</v>
      </c>
      <c r="G1114" s="12">
        <f>F1114-'Estatística'!$D$6/'Estatística'!$D$10</f>
        <v>40.08698037</v>
      </c>
      <c r="H1114" s="13">
        <v>45131.0</v>
      </c>
      <c r="I1114" s="14" t="str">
        <f t="shared" si="1"/>
        <v>jul.</v>
      </c>
      <c r="O1114" s="8"/>
    </row>
    <row r="1115" ht="15.75" customHeight="1">
      <c r="A1115" s="19">
        <v>70.0</v>
      </c>
      <c r="B1115" s="19" t="s">
        <v>152</v>
      </c>
      <c r="C1115" s="19" t="s">
        <v>153</v>
      </c>
      <c r="D1115" s="20" t="s">
        <v>11</v>
      </c>
      <c r="E1115" s="21" t="s">
        <v>46</v>
      </c>
      <c r="F1115" s="22">
        <v>13.34</v>
      </c>
      <c r="G1115" s="22">
        <f>F1115-'Estatística'!$D$6/'Estatística'!$D$10</f>
        <v>12.33698037</v>
      </c>
      <c r="H1115" s="23">
        <v>45132.0</v>
      </c>
      <c r="I1115" s="24" t="str">
        <f t="shared" si="1"/>
        <v>jul.</v>
      </c>
      <c r="O1115" s="8"/>
    </row>
    <row r="1116" ht="15.75" customHeight="1">
      <c r="A1116" s="9">
        <v>4.0</v>
      </c>
      <c r="B1116" s="9" t="s">
        <v>118</v>
      </c>
      <c r="C1116" s="9" t="s">
        <v>119</v>
      </c>
      <c r="D1116" s="10" t="s">
        <v>30</v>
      </c>
      <c r="E1116" s="11" t="s">
        <v>35</v>
      </c>
      <c r="F1116" s="12">
        <v>14.11</v>
      </c>
      <c r="G1116" s="12">
        <f>F1116-'Estatística'!$D$6/'Estatística'!$D$10</f>
        <v>13.10698037</v>
      </c>
      <c r="H1116" s="13">
        <v>45132.0</v>
      </c>
      <c r="I1116" s="14" t="str">
        <f t="shared" si="1"/>
        <v>jul.</v>
      </c>
      <c r="O1116" s="8"/>
    </row>
    <row r="1117" ht="15.75" customHeight="1">
      <c r="A1117" s="19">
        <v>46.0</v>
      </c>
      <c r="B1117" s="19" t="s">
        <v>143</v>
      </c>
      <c r="C1117" s="19" t="s">
        <v>144</v>
      </c>
      <c r="D1117" s="20" t="s">
        <v>30</v>
      </c>
      <c r="E1117" s="21" t="s">
        <v>79</v>
      </c>
      <c r="F1117" s="22">
        <v>35.63</v>
      </c>
      <c r="G1117" s="22">
        <f>F1117-'Estatística'!$D$6/'Estatística'!$D$10</f>
        <v>34.62698037</v>
      </c>
      <c r="H1117" s="23">
        <v>45132.0</v>
      </c>
      <c r="I1117" s="24" t="str">
        <f t="shared" si="1"/>
        <v>jul.</v>
      </c>
      <c r="O1117" s="8"/>
    </row>
    <row r="1118" ht="15.75" customHeight="1">
      <c r="A1118" s="9">
        <v>74.0</v>
      </c>
      <c r="B1118" s="9" t="s">
        <v>9</v>
      </c>
      <c r="C1118" s="9" t="s">
        <v>124</v>
      </c>
      <c r="D1118" s="10" t="s">
        <v>11</v>
      </c>
      <c r="E1118" s="11" t="s">
        <v>43</v>
      </c>
      <c r="F1118" s="12">
        <v>14.13</v>
      </c>
      <c r="G1118" s="12">
        <f>F1118-'Estatística'!$D$6/'Estatística'!$D$10</f>
        <v>13.12698037</v>
      </c>
      <c r="H1118" s="13">
        <v>45132.0</v>
      </c>
      <c r="I1118" s="14" t="str">
        <f t="shared" si="1"/>
        <v>jul.</v>
      </c>
      <c r="O1118" s="8"/>
    </row>
    <row r="1119" ht="15.75" customHeight="1">
      <c r="A1119" s="19">
        <v>41.0</v>
      </c>
      <c r="B1119" s="19" t="s">
        <v>217</v>
      </c>
      <c r="C1119" s="19" t="s">
        <v>218</v>
      </c>
      <c r="D1119" s="20" t="s">
        <v>30</v>
      </c>
      <c r="E1119" s="21" t="s">
        <v>97</v>
      </c>
      <c r="F1119" s="22">
        <v>4.62</v>
      </c>
      <c r="G1119" s="22">
        <f>F1119-'Estatística'!$D$6/'Estatística'!$D$10</f>
        <v>3.616980371</v>
      </c>
      <c r="H1119" s="23">
        <v>45133.0</v>
      </c>
      <c r="I1119" s="24" t="str">
        <f t="shared" si="1"/>
        <v>jul.</v>
      </c>
      <c r="O1119" s="8"/>
    </row>
    <row r="1120" ht="15.75" customHeight="1">
      <c r="A1120" s="9">
        <v>47.0</v>
      </c>
      <c r="B1120" s="9" t="s">
        <v>120</v>
      </c>
      <c r="C1120" s="9" t="s">
        <v>121</v>
      </c>
      <c r="D1120" s="10" t="s">
        <v>30</v>
      </c>
      <c r="E1120" s="11" t="s">
        <v>91</v>
      </c>
      <c r="F1120" s="12">
        <v>1.93</v>
      </c>
      <c r="G1120" s="12">
        <f>F1120-'Estatística'!$D$6/'Estatística'!$D$10</f>
        <v>0.9269803714</v>
      </c>
      <c r="H1120" s="13">
        <v>45133.0</v>
      </c>
      <c r="I1120" s="14" t="str">
        <f t="shared" si="1"/>
        <v>jul.</v>
      </c>
      <c r="O1120" s="8"/>
    </row>
    <row r="1121" ht="15.75" customHeight="1">
      <c r="A1121" s="19">
        <v>22.0</v>
      </c>
      <c r="B1121" s="19" t="s">
        <v>131</v>
      </c>
      <c r="C1121" s="19" t="s">
        <v>132</v>
      </c>
      <c r="D1121" s="20" t="s">
        <v>30</v>
      </c>
      <c r="E1121" s="21" t="s">
        <v>79</v>
      </c>
      <c r="F1121" s="22">
        <v>31.64</v>
      </c>
      <c r="G1121" s="22">
        <f>F1121-'Estatística'!$D$6/'Estatística'!$D$10</f>
        <v>30.63698037</v>
      </c>
      <c r="H1121" s="23">
        <v>45133.0</v>
      </c>
      <c r="I1121" s="24" t="str">
        <f t="shared" si="1"/>
        <v>jul.</v>
      </c>
      <c r="O1121" s="8"/>
    </row>
    <row r="1122" ht="15.75" customHeight="1">
      <c r="A1122" s="9">
        <v>19.0</v>
      </c>
      <c r="B1122" s="9" t="s">
        <v>41</v>
      </c>
      <c r="C1122" s="9" t="s">
        <v>193</v>
      </c>
      <c r="D1122" s="10" t="s">
        <v>11</v>
      </c>
      <c r="E1122" s="11" t="s">
        <v>79</v>
      </c>
      <c r="F1122" s="12">
        <v>33.94</v>
      </c>
      <c r="G1122" s="12">
        <f>F1122-'Estatística'!$D$6/'Estatística'!$D$10</f>
        <v>32.93698037</v>
      </c>
      <c r="H1122" s="13">
        <v>45133.0</v>
      </c>
      <c r="I1122" s="14" t="str">
        <f t="shared" si="1"/>
        <v>jul.</v>
      </c>
      <c r="O1122" s="8"/>
    </row>
    <row r="1123" ht="15.75" customHeight="1">
      <c r="A1123" s="19">
        <v>2.0</v>
      </c>
      <c r="B1123" s="19" t="s">
        <v>83</v>
      </c>
      <c r="C1123" s="19" t="s">
        <v>84</v>
      </c>
      <c r="D1123" s="20" t="s">
        <v>11</v>
      </c>
      <c r="E1123" s="21" t="s">
        <v>88</v>
      </c>
      <c r="F1123" s="22">
        <v>39.57</v>
      </c>
      <c r="G1123" s="22">
        <f>F1123-'Estatística'!$D$6/'Estatística'!$D$10</f>
        <v>38.56698037</v>
      </c>
      <c r="H1123" s="23">
        <v>45133.0</v>
      </c>
      <c r="I1123" s="24" t="str">
        <f t="shared" si="1"/>
        <v>jul.</v>
      </c>
      <c r="O1123" s="8"/>
    </row>
    <row r="1124" ht="15.75" customHeight="1">
      <c r="A1124" s="9">
        <v>47.0</v>
      </c>
      <c r="B1124" s="9" t="s">
        <v>120</v>
      </c>
      <c r="C1124" s="9" t="s">
        <v>121</v>
      </c>
      <c r="D1124" s="10" t="s">
        <v>11</v>
      </c>
      <c r="E1124" s="11" t="s">
        <v>91</v>
      </c>
      <c r="F1124" s="12">
        <v>2.58</v>
      </c>
      <c r="G1124" s="12">
        <f>F1124-'Estatística'!$D$6/'Estatística'!$D$10</f>
        <v>1.576980371</v>
      </c>
      <c r="H1124" s="13">
        <v>45133.0</v>
      </c>
      <c r="I1124" s="14" t="str">
        <f t="shared" si="1"/>
        <v>jul.</v>
      </c>
      <c r="O1124" s="8"/>
    </row>
    <row r="1125" ht="15.75" customHeight="1">
      <c r="A1125" s="19">
        <v>53.0</v>
      </c>
      <c r="B1125" s="19" t="s">
        <v>241</v>
      </c>
      <c r="C1125" s="19" t="s">
        <v>242</v>
      </c>
      <c r="D1125" s="20" t="s">
        <v>11</v>
      </c>
      <c r="E1125" s="21" t="s">
        <v>50</v>
      </c>
      <c r="F1125" s="22">
        <v>32.79</v>
      </c>
      <c r="G1125" s="22">
        <f>F1125-'Estatística'!$D$6/'Estatística'!$D$10</f>
        <v>31.78698037</v>
      </c>
      <c r="H1125" s="23">
        <v>45133.0</v>
      </c>
      <c r="I1125" s="24" t="str">
        <f t="shared" si="1"/>
        <v>jul.</v>
      </c>
      <c r="O1125" s="8"/>
    </row>
    <row r="1126" ht="15.75" customHeight="1">
      <c r="A1126" s="9">
        <v>5.0</v>
      </c>
      <c r="B1126" s="9" t="s">
        <v>167</v>
      </c>
      <c r="C1126" s="9" t="s">
        <v>168</v>
      </c>
      <c r="D1126" s="10" t="s">
        <v>11</v>
      </c>
      <c r="E1126" s="11" t="s">
        <v>94</v>
      </c>
      <c r="F1126" s="12">
        <v>32.48</v>
      </c>
      <c r="G1126" s="12">
        <f>F1126-'Estatística'!$D$6/'Estatística'!$D$10</f>
        <v>31.47698037</v>
      </c>
      <c r="H1126" s="13">
        <v>45134.0</v>
      </c>
      <c r="I1126" s="14" t="str">
        <f t="shared" si="1"/>
        <v>jul.</v>
      </c>
      <c r="O1126" s="8"/>
    </row>
    <row r="1127" ht="15.75" customHeight="1">
      <c r="A1127" s="19">
        <v>60.0</v>
      </c>
      <c r="B1127" s="19" t="s">
        <v>65</v>
      </c>
      <c r="C1127" s="19" t="s">
        <v>66</v>
      </c>
      <c r="D1127" s="20" t="s">
        <v>11</v>
      </c>
      <c r="E1127" s="21" t="s">
        <v>46</v>
      </c>
      <c r="F1127" s="22">
        <v>13.36</v>
      </c>
      <c r="G1127" s="22">
        <f>F1127-'Estatística'!$D$6/'Estatística'!$D$10</f>
        <v>12.35698037</v>
      </c>
      <c r="H1127" s="23">
        <v>45134.0</v>
      </c>
      <c r="I1127" s="24" t="str">
        <f t="shared" si="1"/>
        <v>jul.</v>
      </c>
      <c r="O1127" s="8"/>
    </row>
    <row r="1128" ht="15.75" customHeight="1">
      <c r="A1128" s="9">
        <v>30.0</v>
      </c>
      <c r="B1128" s="9" t="s">
        <v>9</v>
      </c>
      <c r="C1128" s="9" t="s">
        <v>10</v>
      </c>
      <c r="D1128" s="10" t="s">
        <v>11</v>
      </c>
      <c r="E1128" s="11" t="s">
        <v>68</v>
      </c>
      <c r="F1128" s="12">
        <v>7.16</v>
      </c>
      <c r="G1128" s="12">
        <f>F1128-'Estatística'!$D$6/'Estatística'!$D$10</f>
        <v>6.156980371</v>
      </c>
      <c r="H1128" s="13">
        <v>45134.0</v>
      </c>
      <c r="I1128" s="14" t="str">
        <f t="shared" si="1"/>
        <v>jul.</v>
      </c>
      <c r="O1128" s="8"/>
    </row>
    <row r="1129" ht="15.75" customHeight="1">
      <c r="A1129" s="19">
        <v>73.0</v>
      </c>
      <c r="B1129" s="19" t="s">
        <v>223</v>
      </c>
      <c r="C1129" s="19" t="s">
        <v>224</v>
      </c>
      <c r="D1129" s="20" t="s">
        <v>30</v>
      </c>
      <c r="E1129" s="21" t="s">
        <v>85</v>
      </c>
      <c r="F1129" s="22">
        <v>14.15</v>
      </c>
      <c r="G1129" s="22">
        <f>F1129-'Estatística'!$D$6/'Estatística'!$D$10</f>
        <v>13.14698037</v>
      </c>
      <c r="H1129" s="23">
        <v>45134.0</v>
      </c>
      <c r="I1129" s="24" t="str">
        <f t="shared" si="1"/>
        <v>jul.</v>
      </c>
      <c r="O1129" s="8"/>
    </row>
    <row r="1130" ht="15.75" customHeight="1">
      <c r="A1130" s="9">
        <v>87.0</v>
      </c>
      <c r="B1130" s="9" t="s">
        <v>243</v>
      </c>
      <c r="C1130" s="9" t="s">
        <v>244</v>
      </c>
      <c r="D1130" s="10" t="s">
        <v>30</v>
      </c>
      <c r="E1130" s="11" t="s">
        <v>82</v>
      </c>
      <c r="F1130" s="12">
        <v>15.0</v>
      </c>
      <c r="G1130" s="12">
        <f>F1130-'Estatística'!$D$6/'Estatística'!$D$10</f>
        <v>13.99698037</v>
      </c>
      <c r="H1130" s="13">
        <v>45134.0</v>
      </c>
      <c r="I1130" s="14" t="str">
        <f t="shared" si="1"/>
        <v>jul.</v>
      </c>
      <c r="O1130" s="8"/>
    </row>
    <row r="1131" ht="15.75" customHeight="1">
      <c r="A1131" s="19">
        <v>77.0</v>
      </c>
      <c r="B1131" s="19" t="s">
        <v>9</v>
      </c>
      <c r="C1131" s="19" t="s">
        <v>169</v>
      </c>
      <c r="D1131" s="20" t="s">
        <v>30</v>
      </c>
      <c r="E1131" s="21" t="s">
        <v>43</v>
      </c>
      <c r="F1131" s="22">
        <v>13.26</v>
      </c>
      <c r="G1131" s="22">
        <f>F1131-'Estatística'!$D$6/'Estatística'!$D$10</f>
        <v>12.25698037</v>
      </c>
      <c r="H1131" s="23">
        <v>45134.0</v>
      </c>
      <c r="I1131" s="24" t="str">
        <f t="shared" si="1"/>
        <v>jul.</v>
      </c>
      <c r="O1131" s="8"/>
    </row>
    <row r="1132" ht="15.75" customHeight="1">
      <c r="A1132" s="9">
        <v>81.0</v>
      </c>
      <c r="B1132" s="9" t="s">
        <v>54</v>
      </c>
      <c r="C1132" s="9" t="s">
        <v>55</v>
      </c>
      <c r="D1132" s="10" t="s">
        <v>30</v>
      </c>
      <c r="E1132" s="11" t="s">
        <v>76</v>
      </c>
      <c r="F1132" s="12">
        <v>12.64</v>
      </c>
      <c r="G1132" s="12">
        <f>F1132-'Estatística'!$D$6/'Estatística'!$D$10</f>
        <v>11.63698037</v>
      </c>
      <c r="H1132" s="13">
        <v>45134.0</v>
      </c>
      <c r="I1132" s="14" t="str">
        <f t="shared" si="1"/>
        <v>jul.</v>
      </c>
      <c r="O1132" s="8"/>
    </row>
    <row r="1133" ht="15.75" customHeight="1">
      <c r="A1133" s="19">
        <v>40.0</v>
      </c>
      <c r="B1133" s="19" t="s">
        <v>122</v>
      </c>
      <c r="C1133" s="19" t="s">
        <v>185</v>
      </c>
      <c r="D1133" s="20" t="s">
        <v>30</v>
      </c>
      <c r="E1133" s="21" t="s">
        <v>72</v>
      </c>
      <c r="F1133" s="22">
        <v>17.88</v>
      </c>
      <c r="G1133" s="22">
        <f>F1133-'Estatística'!$D$6/'Estatística'!$D$10</f>
        <v>16.87698037</v>
      </c>
      <c r="H1133" s="23">
        <v>45135.0</v>
      </c>
      <c r="I1133" s="24" t="str">
        <f t="shared" si="1"/>
        <v>jul.</v>
      </c>
      <c r="O1133" s="8"/>
    </row>
    <row r="1134" ht="15.75" customHeight="1">
      <c r="A1134" s="9">
        <v>81.0</v>
      </c>
      <c r="B1134" s="9" t="s">
        <v>54</v>
      </c>
      <c r="C1134" s="9" t="s">
        <v>55</v>
      </c>
      <c r="D1134" s="10" t="s">
        <v>30</v>
      </c>
      <c r="E1134" s="11" t="s">
        <v>56</v>
      </c>
      <c r="F1134" s="12">
        <v>66.64</v>
      </c>
      <c r="G1134" s="12">
        <f>F1134-'Estatística'!$D$6/'Estatística'!$D$10</f>
        <v>65.63698037</v>
      </c>
      <c r="H1134" s="13">
        <v>45135.0</v>
      </c>
      <c r="I1134" s="14" t="str">
        <f t="shared" si="1"/>
        <v>jul.</v>
      </c>
      <c r="O1134" s="8"/>
    </row>
    <row r="1135" ht="15.75" customHeight="1">
      <c r="A1135" s="19">
        <v>10.0</v>
      </c>
      <c r="B1135" s="19" t="s">
        <v>148</v>
      </c>
      <c r="C1135" s="19" t="s">
        <v>149</v>
      </c>
      <c r="D1135" s="20" t="s">
        <v>30</v>
      </c>
      <c r="E1135" s="21" t="s">
        <v>39</v>
      </c>
      <c r="F1135" s="22">
        <v>40.24</v>
      </c>
      <c r="G1135" s="22">
        <f>F1135-'Estatística'!$D$6/'Estatística'!$D$10</f>
        <v>39.23698037</v>
      </c>
      <c r="H1135" s="23">
        <v>45135.0</v>
      </c>
      <c r="I1135" s="24" t="str">
        <f t="shared" si="1"/>
        <v>jul.</v>
      </c>
      <c r="O1135" s="8"/>
    </row>
    <row r="1136" ht="15.75" customHeight="1">
      <c r="A1136" s="9">
        <v>40.0</v>
      </c>
      <c r="B1136" s="9" t="s">
        <v>122</v>
      </c>
      <c r="C1136" s="9" t="s">
        <v>185</v>
      </c>
      <c r="D1136" s="10" t="s">
        <v>11</v>
      </c>
      <c r="E1136" s="11" t="s">
        <v>12</v>
      </c>
      <c r="F1136" s="12">
        <v>10.52</v>
      </c>
      <c r="G1136" s="12">
        <f>F1136-'Estatística'!$D$6/'Estatística'!$D$10</f>
        <v>9.516980371</v>
      </c>
      <c r="H1136" s="13">
        <v>45135.0</v>
      </c>
      <c r="I1136" s="14" t="str">
        <f t="shared" si="1"/>
        <v>jul.</v>
      </c>
      <c r="O1136" s="8"/>
    </row>
    <row r="1137" ht="15.75" customHeight="1">
      <c r="A1137" s="19">
        <v>41.0</v>
      </c>
      <c r="B1137" s="19" t="s">
        <v>217</v>
      </c>
      <c r="C1137" s="19" t="s">
        <v>218</v>
      </c>
      <c r="D1137" s="20" t="s">
        <v>30</v>
      </c>
      <c r="E1137" s="21" t="s">
        <v>39</v>
      </c>
      <c r="F1137" s="22">
        <v>34.18</v>
      </c>
      <c r="G1137" s="22">
        <f>F1137-'Estatística'!$D$6/'Estatística'!$D$10</f>
        <v>33.17698037</v>
      </c>
      <c r="H1137" s="23">
        <v>45135.0</v>
      </c>
      <c r="I1137" s="24" t="str">
        <f t="shared" si="1"/>
        <v>jul.</v>
      </c>
      <c r="O1137" s="8"/>
    </row>
    <row r="1138" ht="15.75" customHeight="1">
      <c r="A1138" s="9">
        <v>98.0</v>
      </c>
      <c r="B1138" s="9" t="s">
        <v>159</v>
      </c>
      <c r="C1138" s="9" t="s">
        <v>196</v>
      </c>
      <c r="D1138" s="10" t="s">
        <v>11</v>
      </c>
      <c r="E1138" s="11" t="s">
        <v>82</v>
      </c>
      <c r="F1138" s="12">
        <v>11.16</v>
      </c>
      <c r="G1138" s="12">
        <f>F1138-'Estatística'!$D$6/'Estatística'!$D$10</f>
        <v>10.15698037</v>
      </c>
      <c r="H1138" s="13">
        <v>45135.0</v>
      </c>
      <c r="I1138" s="14" t="str">
        <f t="shared" si="1"/>
        <v>jul.</v>
      </c>
      <c r="O1138" s="8"/>
    </row>
    <row r="1139" ht="15.75" customHeight="1">
      <c r="A1139" s="19">
        <v>85.0</v>
      </c>
      <c r="B1139" s="19" t="s">
        <v>198</v>
      </c>
      <c r="C1139" s="19" t="s">
        <v>199</v>
      </c>
      <c r="D1139" s="20" t="s">
        <v>11</v>
      </c>
      <c r="E1139" s="21" t="s">
        <v>88</v>
      </c>
      <c r="F1139" s="22">
        <v>35.0</v>
      </c>
      <c r="G1139" s="22">
        <f>F1139-'Estatística'!$D$6/'Estatística'!$D$10</f>
        <v>33.99698037</v>
      </c>
      <c r="H1139" s="23">
        <v>45135.0</v>
      </c>
      <c r="I1139" s="24" t="str">
        <f t="shared" si="1"/>
        <v>jul.</v>
      </c>
      <c r="O1139" s="8"/>
    </row>
    <row r="1140" ht="15.75" customHeight="1">
      <c r="A1140" s="9">
        <v>97.0</v>
      </c>
      <c r="B1140" s="9" t="s">
        <v>69</v>
      </c>
      <c r="C1140" s="9" t="s">
        <v>70</v>
      </c>
      <c r="D1140" s="10" t="s">
        <v>11</v>
      </c>
      <c r="E1140" s="11" t="s">
        <v>46</v>
      </c>
      <c r="F1140" s="12">
        <v>12.23</v>
      </c>
      <c r="G1140" s="12">
        <f>F1140-'Estatística'!$D$6/'Estatística'!$D$10</f>
        <v>11.22698037</v>
      </c>
      <c r="H1140" s="13">
        <v>45139.0</v>
      </c>
      <c r="I1140" s="14" t="str">
        <f t="shared" si="1"/>
        <v>ago.</v>
      </c>
      <c r="O1140" s="8"/>
    </row>
    <row r="1141" ht="15.75" customHeight="1">
      <c r="A1141" s="19">
        <v>75.0</v>
      </c>
      <c r="B1141" s="19" t="s">
        <v>238</v>
      </c>
      <c r="C1141" s="19" t="s">
        <v>239</v>
      </c>
      <c r="D1141" s="20" t="s">
        <v>11</v>
      </c>
      <c r="E1141" s="21" t="s">
        <v>76</v>
      </c>
      <c r="F1141" s="22">
        <v>12.63</v>
      </c>
      <c r="G1141" s="22">
        <f>F1141-'Estatística'!$D$6/'Estatística'!$D$10</f>
        <v>11.62698037</v>
      </c>
      <c r="H1141" s="23">
        <v>45139.0</v>
      </c>
      <c r="I1141" s="24" t="str">
        <f t="shared" si="1"/>
        <v>ago.</v>
      </c>
      <c r="O1141" s="8"/>
    </row>
    <row r="1142" ht="15.75" customHeight="1">
      <c r="A1142" s="9">
        <v>48.0</v>
      </c>
      <c r="B1142" s="9" t="s">
        <v>41</v>
      </c>
      <c r="C1142" s="9" t="s">
        <v>45</v>
      </c>
      <c r="D1142" s="10" t="s">
        <v>30</v>
      </c>
      <c r="E1142" s="11" t="s">
        <v>97</v>
      </c>
      <c r="F1142" s="12">
        <v>2.84</v>
      </c>
      <c r="G1142" s="12">
        <f>F1142-'Estatística'!$D$6/'Estatística'!$D$10</f>
        <v>1.836980371</v>
      </c>
      <c r="H1142" s="13">
        <v>45139.0</v>
      </c>
      <c r="I1142" s="14" t="str">
        <f t="shared" si="1"/>
        <v>ago.</v>
      </c>
      <c r="O1142" s="8"/>
    </row>
    <row r="1143" ht="15.75" customHeight="1">
      <c r="A1143" s="19">
        <v>3.0</v>
      </c>
      <c r="B1143" s="19" t="s">
        <v>80</v>
      </c>
      <c r="C1143" s="19" t="s">
        <v>81</v>
      </c>
      <c r="D1143" s="20" t="s">
        <v>11</v>
      </c>
      <c r="E1143" s="21" t="s">
        <v>43</v>
      </c>
      <c r="F1143" s="22">
        <v>18.42</v>
      </c>
      <c r="G1143" s="22">
        <f>F1143-'Estatística'!$D$6/'Estatística'!$D$10</f>
        <v>17.41698037</v>
      </c>
      <c r="H1143" s="23">
        <v>45139.0</v>
      </c>
      <c r="I1143" s="24" t="str">
        <f t="shared" si="1"/>
        <v>ago.</v>
      </c>
      <c r="O1143" s="8"/>
    </row>
    <row r="1144" ht="15.75" customHeight="1">
      <c r="A1144" s="9">
        <v>73.0</v>
      </c>
      <c r="B1144" s="9" t="s">
        <v>223</v>
      </c>
      <c r="C1144" s="9" t="s">
        <v>224</v>
      </c>
      <c r="D1144" s="10" t="s">
        <v>11</v>
      </c>
      <c r="E1144" s="11" t="s">
        <v>46</v>
      </c>
      <c r="F1144" s="12">
        <v>12.72</v>
      </c>
      <c r="G1144" s="12">
        <f>F1144-'Estatística'!$D$6/'Estatística'!$D$10</f>
        <v>11.71698037</v>
      </c>
      <c r="H1144" s="13">
        <v>45140.0</v>
      </c>
      <c r="I1144" s="14" t="str">
        <f t="shared" si="1"/>
        <v>ago.</v>
      </c>
      <c r="O1144" s="8"/>
    </row>
    <row r="1145" ht="15.75" customHeight="1">
      <c r="A1145" s="19">
        <v>64.0</v>
      </c>
      <c r="B1145" s="19" t="s">
        <v>159</v>
      </c>
      <c r="C1145" s="19" t="s">
        <v>160</v>
      </c>
      <c r="D1145" s="20" t="s">
        <v>30</v>
      </c>
      <c r="E1145" s="21" t="s">
        <v>91</v>
      </c>
      <c r="F1145" s="22">
        <v>3.21</v>
      </c>
      <c r="G1145" s="22">
        <f>F1145-'Estatística'!$D$6/'Estatística'!$D$10</f>
        <v>2.206980371</v>
      </c>
      <c r="H1145" s="23">
        <v>45140.0</v>
      </c>
      <c r="I1145" s="24" t="str">
        <f t="shared" si="1"/>
        <v>ago.</v>
      </c>
      <c r="O1145" s="8"/>
    </row>
    <row r="1146" ht="15.75" customHeight="1">
      <c r="A1146" s="9">
        <v>60.0</v>
      </c>
      <c r="B1146" s="9" t="s">
        <v>65</v>
      </c>
      <c r="C1146" s="9" t="s">
        <v>66</v>
      </c>
      <c r="D1146" s="10" t="s">
        <v>30</v>
      </c>
      <c r="E1146" s="11" t="s">
        <v>94</v>
      </c>
      <c r="F1146" s="12">
        <v>28.85</v>
      </c>
      <c r="G1146" s="12">
        <f>F1146-'Estatística'!$D$6/'Estatística'!$D$10</f>
        <v>27.84698037</v>
      </c>
      <c r="H1146" s="13">
        <v>45140.0</v>
      </c>
      <c r="I1146" s="14" t="str">
        <f t="shared" si="1"/>
        <v>ago.</v>
      </c>
      <c r="O1146" s="8"/>
    </row>
    <row r="1147" ht="15.75" customHeight="1">
      <c r="A1147" s="19">
        <v>51.0</v>
      </c>
      <c r="B1147" s="19" t="s">
        <v>233</v>
      </c>
      <c r="C1147" s="19" t="s">
        <v>234</v>
      </c>
      <c r="D1147" s="20" t="s">
        <v>11</v>
      </c>
      <c r="E1147" s="21" t="s">
        <v>31</v>
      </c>
      <c r="F1147" s="22">
        <v>50.85</v>
      </c>
      <c r="G1147" s="22">
        <f>F1147-'Estatística'!$D$6/'Estatística'!$D$10</f>
        <v>49.84698037</v>
      </c>
      <c r="H1147" s="23">
        <v>45140.0</v>
      </c>
      <c r="I1147" s="24" t="str">
        <f t="shared" si="1"/>
        <v>ago.</v>
      </c>
      <c r="O1147" s="8"/>
    </row>
    <row r="1148" ht="15.75" customHeight="1">
      <c r="A1148" s="9">
        <v>38.0</v>
      </c>
      <c r="B1148" s="9" t="s">
        <v>116</v>
      </c>
      <c r="C1148" s="9" t="s">
        <v>117</v>
      </c>
      <c r="D1148" s="10" t="s">
        <v>30</v>
      </c>
      <c r="E1148" s="11" t="s">
        <v>88</v>
      </c>
      <c r="F1148" s="12">
        <v>38.76</v>
      </c>
      <c r="G1148" s="12">
        <f>F1148-'Estatística'!$D$6/'Estatística'!$D$10</f>
        <v>37.75698037</v>
      </c>
      <c r="H1148" s="13">
        <v>45140.0</v>
      </c>
      <c r="I1148" s="14" t="str">
        <f t="shared" si="1"/>
        <v>ago.</v>
      </c>
      <c r="O1148" s="8"/>
    </row>
    <row r="1149" ht="15.75" customHeight="1">
      <c r="A1149" s="19">
        <v>24.0</v>
      </c>
      <c r="B1149" s="19" t="s">
        <v>139</v>
      </c>
      <c r="C1149" s="19" t="s">
        <v>140</v>
      </c>
      <c r="D1149" s="20" t="s">
        <v>11</v>
      </c>
      <c r="E1149" s="21" t="s">
        <v>88</v>
      </c>
      <c r="F1149" s="22">
        <v>41.04</v>
      </c>
      <c r="G1149" s="22">
        <f>F1149-'Estatística'!$D$6/'Estatística'!$D$10</f>
        <v>40.03698037</v>
      </c>
      <c r="H1149" s="23">
        <v>45140.0</v>
      </c>
      <c r="I1149" s="24" t="str">
        <f t="shared" si="1"/>
        <v>ago.</v>
      </c>
      <c r="O1149" s="8"/>
    </row>
    <row r="1150" ht="15.75" customHeight="1">
      <c r="A1150" s="9">
        <v>41.0</v>
      </c>
      <c r="B1150" s="9" t="s">
        <v>217</v>
      </c>
      <c r="C1150" s="9" t="s">
        <v>218</v>
      </c>
      <c r="D1150" s="10" t="s">
        <v>11</v>
      </c>
      <c r="E1150" s="11" t="s">
        <v>12</v>
      </c>
      <c r="F1150" s="12">
        <v>10.73</v>
      </c>
      <c r="G1150" s="12">
        <f>F1150-'Estatística'!$D$6/'Estatística'!$D$10</f>
        <v>9.726980371</v>
      </c>
      <c r="H1150" s="13">
        <v>45140.0</v>
      </c>
      <c r="I1150" s="14" t="str">
        <f t="shared" si="1"/>
        <v>ago.</v>
      </c>
      <c r="O1150" s="8"/>
    </row>
    <row r="1151" ht="15.75" customHeight="1">
      <c r="A1151" s="19">
        <v>26.0</v>
      </c>
      <c r="B1151" s="19" t="s">
        <v>211</v>
      </c>
      <c r="C1151" s="19" t="s">
        <v>212</v>
      </c>
      <c r="D1151" s="20" t="s">
        <v>30</v>
      </c>
      <c r="E1151" s="21" t="s">
        <v>39</v>
      </c>
      <c r="F1151" s="22">
        <v>17.49</v>
      </c>
      <c r="G1151" s="22">
        <f>F1151-'Estatística'!$D$6/'Estatística'!$D$10</f>
        <v>16.48698037</v>
      </c>
      <c r="H1151" s="23">
        <v>45141.0</v>
      </c>
      <c r="I1151" s="24" t="str">
        <f t="shared" si="1"/>
        <v>ago.</v>
      </c>
      <c r="O1151" s="8"/>
    </row>
    <row r="1152" ht="15.75" customHeight="1">
      <c r="A1152" s="9">
        <v>76.0</v>
      </c>
      <c r="B1152" s="9" t="s">
        <v>213</v>
      </c>
      <c r="C1152" s="9" t="s">
        <v>214</v>
      </c>
      <c r="D1152" s="10" t="s">
        <v>30</v>
      </c>
      <c r="E1152" s="11" t="s">
        <v>82</v>
      </c>
      <c r="F1152" s="12">
        <v>11.96</v>
      </c>
      <c r="G1152" s="12">
        <f>F1152-'Estatística'!$D$6/'Estatística'!$D$10</f>
        <v>10.95698037</v>
      </c>
      <c r="H1152" s="13">
        <v>45142.0</v>
      </c>
      <c r="I1152" s="14" t="str">
        <f t="shared" si="1"/>
        <v>ago.</v>
      </c>
      <c r="O1152" s="8"/>
    </row>
    <row r="1153" ht="15.75" customHeight="1">
      <c r="A1153" s="19">
        <v>49.0</v>
      </c>
      <c r="B1153" s="19" t="s">
        <v>179</v>
      </c>
      <c r="C1153" s="19" t="s">
        <v>180</v>
      </c>
      <c r="D1153" s="20" t="s">
        <v>30</v>
      </c>
      <c r="E1153" s="21" t="s">
        <v>82</v>
      </c>
      <c r="F1153" s="22">
        <v>15.14</v>
      </c>
      <c r="G1153" s="22">
        <f>F1153-'Estatística'!$D$6/'Estatística'!$D$10</f>
        <v>14.13698037</v>
      </c>
      <c r="H1153" s="23">
        <v>45142.0</v>
      </c>
      <c r="I1153" s="24" t="str">
        <f t="shared" si="1"/>
        <v>ago.</v>
      </c>
      <c r="O1153" s="8"/>
    </row>
    <row r="1154" ht="15.75" customHeight="1">
      <c r="A1154" s="9">
        <v>36.0</v>
      </c>
      <c r="B1154" s="9" t="s">
        <v>92</v>
      </c>
      <c r="C1154" s="9" t="s">
        <v>93</v>
      </c>
      <c r="D1154" s="10" t="s">
        <v>11</v>
      </c>
      <c r="E1154" s="11" t="s">
        <v>91</v>
      </c>
      <c r="F1154" s="12">
        <v>3.25</v>
      </c>
      <c r="G1154" s="12">
        <f>F1154-'Estatística'!$D$6/'Estatística'!$D$10</f>
        <v>2.246980371</v>
      </c>
      <c r="H1154" s="13">
        <v>45142.0</v>
      </c>
      <c r="I1154" s="14" t="str">
        <f t="shared" si="1"/>
        <v>ago.</v>
      </c>
      <c r="O1154" s="8"/>
    </row>
    <row r="1155" ht="15.75" customHeight="1">
      <c r="A1155" s="19">
        <v>40.0</v>
      </c>
      <c r="B1155" s="19" t="s">
        <v>122</v>
      </c>
      <c r="C1155" s="19" t="s">
        <v>185</v>
      </c>
      <c r="D1155" s="20" t="s">
        <v>30</v>
      </c>
      <c r="E1155" s="21" t="s">
        <v>91</v>
      </c>
      <c r="F1155" s="22">
        <v>2.62</v>
      </c>
      <c r="G1155" s="22">
        <f>F1155-'Estatística'!$D$6/'Estatística'!$D$10</f>
        <v>1.616980371</v>
      </c>
      <c r="H1155" s="23">
        <v>45142.0</v>
      </c>
      <c r="I1155" s="24" t="str">
        <f t="shared" si="1"/>
        <v>ago.</v>
      </c>
      <c r="O1155" s="8"/>
    </row>
    <row r="1156" ht="15.75" customHeight="1">
      <c r="A1156" s="9">
        <v>32.0</v>
      </c>
      <c r="B1156" s="9" t="s">
        <v>146</v>
      </c>
      <c r="C1156" s="9" t="s">
        <v>147</v>
      </c>
      <c r="D1156" s="10" t="s">
        <v>11</v>
      </c>
      <c r="E1156" s="11" t="s">
        <v>35</v>
      </c>
      <c r="F1156" s="12">
        <v>15.76</v>
      </c>
      <c r="G1156" s="12">
        <f>F1156-'Estatística'!$D$6/'Estatística'!$D$10</f>
        <v>14.75698037</v>
      </c>
      <c r="H1156" s="13">
        <v>45142.0</v>
      </c>
      <c r="I1156" s="14" t="str">
        <f t="shared" si="1"/>
        <v>ago.</v>
      </c>
      <c r="O1156" s="8"/>
    </row>
    <row r="1157" ht="15.75" customHeight="1">
      <c r="A1157" s="19">
        <v>63.0</v>
      </c>
      <c r="B1157" s="19" t="s">
        <v>225</v>
      </c>
      <c r="C1157" s="19" t="s">
        <v>226</v>
      </c>
      <c r="D1157" s="20" t="s">
        <v>11</v>
      </c>
      <c r="E1157" s="21" t="s">
        <v>35</v>
      </c>
      <c r="F1157" s="22">
        <v>13.41</v>
      </c>
      <c r="G1157" s="22">
        <f>F1157-'Estatística'!$D$6/'Estatística'!$D$10</f>
        <v>12.40698037</v>
      </c>
      <c r="H1157" s="23">
        <v>45142.0</v>
      </c>
      <c r="I1157" s="24" t="str">
        <f t="shared" si="1"/>
        <v>ago.</v>
      </c>
      <c r="O1157" s="8"/>
    </row>
    <row r="1158" ht="15.75" customHeight="1">
      <c r="A1158" s="9">
        <v>4.0</v>
      </c>
      <c r="B1158" s="9" t="s">
        <v>118</v>
      </c>
      <c r="C1158" s="9" t="s">
        <v>119</v>
      </c>
      <c r="D1158" s="10" t="s">
        <v>11</v>
      </c>
      <c r="E1158" s="11" t="s">
        <v>12</v>
      </c>
      <c r="F1158" s="12">
        <v>10.69</v>
      </c>
      <c r="G1158" s="12">
        <f>F1158-'Estatística'!$D$6/'Estatística'!$D$10</f>
        <v>9.686980371</v>
      </c>
      <c r="H1158" s="13">
        <v>45142.0</v>
      </c>
      <c r="I1158" s="14" t="str">
        <f t="shared" si="1"/>
        <v>ago.</v>
      </c>
      <c r="O1158" s="8"/>
    </row>
    <row r="1159" ht="15.75" customHeight="1">
      <c r="A1159" s="19">
        <v>52.0</v>
      </c>
      <c r="B1159" s="19" t="s">
        <v>181</v>
      </c>
      <c r="C1159" s="19" t="s">
        <v>182</v>
      </c>
      <c r="D1159" s="20" t="s">
        <v>30</v>
      </c>
      <c r="E1159" s="21" t="s">
        <v>97</v>
      </c>
      <c r="F1159" s="22">
        <v>3.18</v>
      </c>
      <c r="G1159" s="22">
        <f>F1159-'Estatística'!$D$6/'Estatística'!$D$10</f>
        <v>2.176980371</v>
      </c>
      <c r="H1159" s="23">
        <v>45143.0</v>
      </c>
      <c r="I1159" s="24" t="str">
        <f t="shared" si="1"/>
        <v>ago.</v>
      </c>
      <c r="O1159" s="8"/>
    </row>
    <row r="1160" ht="15.75" customHeight="1">
      <c r="A1160" s="9">
        <v>83.0</v>
      </c>
      <c r="B1160" s="9" t="s">
        <v>98</v>
      </c>
      <c r="C1160" s="9" t="s">
        <v>99</v>
      </c>
      <c r="D1160" s="10" t="s">
        <v>11</v>
      </c>
      <c r="E1160" s="11" t="s">
        <v>60</v>
      </c>
      <c r="F1160" s="12">
        <v>43.63</v>
      </c>
      <c r="G1160" s="12">
        <f>F1160-'Estatística'!$D$6/'Estatística'!$D$10</f>
        <v>42.62698037</v>
      </c>
      <c r="H1160" s="13">
        <v>45143.0</v>
      </c>
      <c r="I1160" s="14" t="str">
        <f t="shared" si="1"/>
        <v>ago.</v>
      </c>
      <c r="O1160" s="8"/>
    </row>
    <row r="1161" ht="15.75" customHeight="1">
      <c r="A1161" s="19">
        <v>58.0</v>
      </c>
      <c r="B1161" s="19" t="s">
        <v>165</v>
      </c>
      <c r="C1161" s="19" t="s">
        <v>166</v>
      </c>
      <c r="D1161" s="20" t="s">
        <v>30</v>
      </c>
      <c r="E1161" s="21" t="s">
        <v>97</v>
      </c>
      <c r="F1161" s="22">
        <v>3.06</v>
      </c>
      <c r="G1161" s="22">
        <f>F1161-'Estatística'!$D$6/'Estatística'!$D$10</f>
        <v>2.056980371</v>
      </c>
      <c r="H1161" s="23">
        <v>45143.0</v>
      </c>
      <c r="I1161" s="24" t="str">
        <f t="shared" si="1"/>
        <v>ago.</v>
      </c>
      <c r="O1161" s="8"/>
    </row>
    <row r="1162" ht="15.75" customHeight="1">
      <c r="A1162" s="9">
        <v>88.0</v>
      </c>
      <c r="B1162" s="9" t="s">
        <v>200</v>
      </c>
      <c r="C1162" s="9" t="s">
        <v>206</v>
      </c>
      <c r="D1162" s="10" t="s">
        <v>30</v>
      </c>
      <c r="E1162" s="11" t="s">
        <v>82</v>
      </c>
      <c r="F1162" s="12">
        <v>14.16</v>
      </c>
      <c r="G1162" s="12">
        <f>F1162-'Estatística'!$D$6/'Estatística'!$D$10</f>
        <v>13.15698037</v>
      </c>
      <c r="H1162" s="13">
        <v>45144.0</v>
      </c>
      <c r="I1162" s="14" t="str">
        <f t="shared" si="1"/>
        <v>ago.</v>
      </c>
      <c r="O1162" s="8"/>
    </row>
    <row r="1163" ht="15.75" customHeight="1">
      <c r="A1163" s="19">
        <v>99.0</v>
      </c>
      <c r="B1163" s="19" t="s">
        <v>73</v>
      </c>
      <c r="C1163" s="19" t="s">
        <v>74</v>
      </c>
      <c r="D1163" s="20" t="s">
        <v>11</v>
      </c>
      <c r="E1163" s="21" t="s">
        <v>91</v>
      </c>
      <c r="F1163" s="22">
        <v>1.54</v>
      </c>
      <c r="G1163" s="22">
        <f>F1163-'Estatística'!$D$6/'Estatística'!$D$10</f>
        <v>0.5369803714</v>
      </c>
      <c r="H1163" s="23">
        <v>45144.0</v>
      </c>
      <c r="I1163" s="24" t="str">
        <f t="shared" si="1"/>
        <v>ago.</v>
      </c>
      <c r="O1163" s="8"/>
    </row>
    <row r="1164" ht="15.75" customHeight="1">
      <c r="A1164" s="9">
        <v>38.0</v>
      </c>
      <c r="B1164" s="9" t="s">
        <v>116</v>
      </c>
      <c r="C1164" s="9" t="s">
        <v>117</v>
      </c>
      <c r="D1164" s="10" t="s">
        <v>30</v>
      </c>
      <c r="E1164" s="11" t="s">
        <v>46</v>
      </c>
      <c r="F1164" s="12">
        <v>12.87</v>
      </c>
      <c r="G1164" s="12">
        <f>F1164-'Estatística'!$D$6/'Estatística'!$D$10</f>
        <v>11.86698037</v>
      </c>
      <c r="H1164" s="13">
        <v>45144.0</v>
      </c>
      <c r="I1164" s="14" t="str">
        <f t="shared" si="1"/>
        <v>ago.</v>
      </c>
      <c r="O1164" s="8"/>
    </row>
    <row r="1165" ht="15.75" customHeight="1">
      <c r="A1165" s="19">
        <v>57.0</v>
      </c>
      <c r="B1165" s="19" t="s">
        <v>92</v>
      </c>
      <c r="C1165" s="19" t="s">
        <v>190</v>
      </c>
      <c r="D1165" s="20" t="s">
        <v>11</v>
      </c>
      <c r="E1165" s="21" t="s">
        <v>97</v>
      </c>
      <c r="F1165" s="22">
        <v>4.75</v>
      </c>
      <c r="G1165" s="22">
        <f>F1165-'Estatística'!$D$6/'Estatística'!$D$10</f>
        <v>3.746980371</v>
      </c>
      <c r="H1165" s="23">
        <v>45144.0</v>
      </c>
      <c r="I1165" s="24" t="str">
        <f t="shared" si="1"/>
        <v>ago.</v>
      </c>
      <c r="O1165" s="8"/>
    </row>
    <row r="1166" ht="15.75" customHeight="1">
      <c r="A1166" s="9">
        <v>9.0</v>
      </c>
      <c r="B1166" s="9" t="s">
        <v>207</v>
      </c>
      <c r="C1166" s="9" t="s">
        <v>208</v>
      </c>
      <c r="D1166" s="10" t="s">
        <v>11</v>
      </c>
      <c r="E1166" s="11" t="s">
        <v>52</v>
      </c>
      <c r="F1166" s="12">
        <v>55.9</v>
      </c>
      <c r="G1166" s="12">
        <f>F1166-'Estatística'!$D$6/'Estatística'!$D$10</f>
        <v>54.89698037</v>
      </c>
      <c r="H1166" s="13">
        <v>45144.0</v>
      </c>
      <c r="I1166" s="14" t="str">
        <f t="shared" si="1"/>
        <v>ago.</v>
      </c>
      <c r="O1166" s="8"/>
    </row>
    <row r="1167" ht="15.75" customHeight="1">
      <c r="A1167" s="19">
        <v>26.0</v>
      </c>
      <c r="B1167" s="19" t="s">
        <v>211</v>
      </c>
      <c r="C1167" s="19" t="s">
        <v>212</v>
      </c>
      <c r="D1167" s="20" t="s">
        <v>11</v>
      </c>
      <c r="E1167" s="21" t="s">
        <v>79</v>
      </c>
      <c r="F1167" s="22">
        <v>37.15</v>
      </c>
      <c r="G1167" s="22">
        <f>F1167-'Estatística'!$D$6/'Estatística'!$D$10</f>
        <v>36.14698037</v>
      </c>
      <c r="H1167" s="23">
        <v>45144.0</v>
      </c>
      <c r="I1167" s="24" t="str">
        <f t="shared" si="1"/>
        <v>ago.</v>
      </c>
      <c r="O1167" s="8"/>
    </row>
    <row r="1168" ht="15.75" customHeight="1">
      <c r="A1168" s="9">
        <v>72.0</v>
      </c>
      <c r="B1168" s="9" t="s">
        <v>133</v>
      </c>
      <c r="C1168" s="9" t="s">
        <v>134</v>
      </c>
      <c r="D1168" s="10" t="s">
        <v>30</v>
      </c>
      <c r="E1168" s="11" t="s">
        <v>88</v>
      </c>
      <c r="F1168" s="12">
        <v>39.29</v>
      </c>
      <c r="G1168" s="12">
        <f>F1168-'Estatística'!$D$6/'Estatística'!$D$10</f>
        <v>38.28698037</v>
      </c>
      <c r="H1168" s="13">
        <v>45144.0</v>
      </c>
      <c r="I1168" s="14" t="str">
        <f t="shared" si="1"/>
        <v>ago.</v>
      </c>
      <c r="O1168" s="8"/>
    </row>
    <row r="1169" ht="15.75" customHeight="1">
      <c r="A1169" s="19">
        <v>54.0</v>
      </c>
      <c r="B1169" s="19" t="s">
        <v>86</v>
      </c>
      <c r="C1169" s="19" t="s">
        <v>87</v>
      </c>
      <c r="D1169" s="20" t="s">
        <v>11</v>
      </c>
      <c r="E1169" s="21" t="s">
        <v>72</v>
      </c>
      <c r="F1169" s="22">
        <v>20.13</v>
      </c>
      <c r="G1169" s="22">
        <f>F1169-'Estatística'!$D$6/'Estatística'!$D$10</f>
        <v>19.12698037</v>
      </c>
      <c r="H1169" s="23">
        <v>45144.0</v>
      </c>
      <c r="I1169" s="24" t="str">
        <f t="shared" si="1"/>
        <v>ago.</v>
      </c>
      <c r="O1169" s="8"/>
    </row>
    <row r="1170" ht="15.75" customHeight="1">
      <c r="A1170" s="9">
        <v>25.0</v>
      </c>
      <c r="B1170" s="9" t="s">
        <v>154</v>
      </c>
      <c r="C1170" s="9" t="s">
        <v>155</v>
      </c>
      <c r="D1170" s="10" t="s">
        <v>30</v>
      </c>
      <c r="E1170" s="11" t="s">
        <v>50</v>
      </c>
      <c r="F1170" s="12">
        <v>23.19</v>
      </c>
      <c r="G1170" s="12">
        <f>F1170-'Estatística'!$D$6/'Estatística'!$D$10</f>
        <v>22.18698037</v>
      </c>
      <c r="H1170" s="13">
        <v>45144.0</v>
      </c>
      <c r="I1170" s="14" t="str">
        <f t="shared" si="1"/>
        <v>ago.</v>
      </c>
      <c r="O1170" s="8"/>
    </row>
    <row r="1171" ht="15.75" customHeight="1">
      <c r="A1171" s="19">
        <v>90.0</v>
      </c>
      <c r="B1171" s="19" t="s">
        <v>219</v>
      </c>
      <c r="C1171" s="19" t="s">
        <v>220</v>
      </c>
      <c r="D1171" s="20" t="s">
        <v>11</v>
      </c>
      <c r="E1171" s="21" t="s">
        <v>68</v>
      </c>
      <c r="F1171" s="22">
        <v>15.65</v>
      </c>
      <c r="G1171" s="22">
        <f>F1171-'Estatística'!$D$6/'Estatística'!$D$10</f>
        <v>14.64698037</v>
      </c>
      <c r="H1171" s="23">
        <v>45144.0</v>
      </c>
      <c r="I1171" s="24" t="str">
        <f t="shared" si="1"/>
        <v>ago.</v>
      </c>
      <c r="O1171" s="8"/>
    </row>
    <row r="1172" ht="15.75" customHeight="1">
      <c r="A1172" s="9">
        <v>69.0</v>
      </c>
      <c r="B1172" s="9" t="s">
        <v>108</v>
      </c>
      <c r="C1172" s="9" t="s">
        <v>145</v>
      </c>
      <c r="D1172" s="10" t="s">
        <v>11</v>
      </c>
      <c r="E1172" s="11" t="s">
        <v>82</v>
      </c>
      <c r="F1172" s="12">
        <v>11.59</v>
      </c>
      <c r="G1172" s="12">
        <f>F1172-'Estatística'!$D$6/'Estatística'!$D$10</f>
        <v>10.58698037</v>
      </c>
      <c r="H1172" s="13">
        <v>45144.0</v>
      </c>
      <c r="I1172" s="14" t="str">
        <f t="shared" si="1"/>
        <v>ago.</v>
      </c>
      <c r="O1172" s="8"/>
    </row>
    <row r="1173" ht="15.75" customHeight="1">
      <c r="A1173" s="19">
        <v>80.0</v>
      </c>
      <c r="B1173" s="19" t="s">
        <v>37</v>
      </c>
      <c r="C1173" s="19" t="s">
        <v>38</v>
      </c>
      <c r="D1173" s="20" t="s">
        <v>30</v>
      </c>
      <c r="E1173" s="21" t="s">
        <v>72</v>
      </c>
      <c r="F1173" s="22">
        <v>21.04</v>
      </c>
      <c r="G1173" s="22">
        <f>F1173-'Estatística'!$D$6/'Estatística'!$D$10</f>
        <v>20.03698037</v>
      </c>
      <c r="H1173" s="23">
        <v>45145.0</v>
      </c>
      <c r="I1173" s="24" t="str">
        <f t="shared" si="1"/>
        <v>ago.</v>
      </c>
      <c r="O1173" s="8"/>
    </row>
    <row r="1174" ht="15.75" customHeight="1">
      <c r="A1174" s="9">
        <v>54.0</v>
      </c>
      <c r="B1174" s="9" t="s">
        <v>86</v>
      </c>
      <c r="C1174" s="9" t="s">
        <v>87</v>
      </c>
      <c r="D1174" s="10" t="s">
        <v>30</v>
      </c>
      <c r="E1174" s="11" t="s">
        <v>76</v>
      </c>
      <c r="F1174" s="12">
        <v>10.74</v>
      </c>
      <c r="G1174" s="12">
        <f>F1174-'Estatística'!$D$6/'Estatística'!$D$10</f>
        <v>9.736980371</v>
      </c>
      <c r="H1174" s="13">
        <v>45145.0</v>
      </c>
      <c r="I1174" s="14" t="str">
        <f t="shared" si="1"/>
        <v>ago.</v>
      </c>
      <c r="O1174" s="8"/>
    </row>
    <row r="1175" ht="15.75" customHeight="1">
      <c r="A1175" s="19">
        <v>13.0</v>
      </c>
      <c r="B1175" s="19" t="s">
        <v>137</v>
      </c>
      <c r="C1175" s="19" t="s">
        <v>138</v>
      </c>
      <c r="D1175" s="20" t="s">
        <v>11</v>
      </c>
      <c r="E1175" s="21" t="s">
        <v>56</v>
      </c>
      <c r="F1175" s="22">
        <v>64.94</v>
      </c>
      <c r="G1175" s="22">
        <f>F1175-'Estatística'!$D$6/'Estatística'!$D$10</f>
        <v>63.93698037</v>
      </c>
      <c r="H1175" s="23">
        <v>45146.0</v>
      </c>
      <c r="I1175" s="24" t="str">
        <f t="shared" si="1"/>
        <v>ago.</v>
      </c>
      <c r="O1175" s="8"/>
    </row>
    <row r="1176" ht="15.75" customHeight="1">
      <c r="A1176" s="9">
        <v>53.0</v>
      </c>
      <c r="B1176" s="9" t="s">
        <v>241</v>
      </c>
      <c r="C1176" s="9" t="s">
        <v>242</v>
      </c>
      <c r="D1176" s="10" t="s">
        <v>11</v>
      </c>
      <c r="E1176" s="11" t="s">
        <v>35</v>
      </c>
      <c r="F1176" s="12">
        <v>11.85</v>
      </c>
      <c r="G1176" s="12">
        <f>F1176-'Estatística'!$D$6/'Estatística'!$D$10</f>
        <v>10.84698037</v>
      </c>
      <c r="H1176" s="13">
        <v>45146.0</v>
      </c>
      <c r="I1176" s="14" t="str">
        <f t="shared" si="1"/>
        <v>ago.</v>
      </c>
      <c r="O1176" s="8"/>
    </row>
    <row r="1177" ht="15.75" customHeight="1">
      <c r="A1177" s="19">
        <v>57.0</v>
      </c>
      <c r="B1177" s="19" t="s">
        <v>92</v>
      </c>
      <c r="C1177" s="19" t="s">
        <v>190</v>
      </c>
      <c r="D1177" s="20" t="s">
        <v>11</v>
      </c>
      <c r="E1177" s="21" t="s">
        <v>35</v>
      </c>
      <c r="F1177" s="22">
        <v>21.37</v>
      </c>
      <c r="G1177" s="22">
        <f>F1177-'Estatística'!$D$6/'Estatística'!$D$10</f>
        <v>20.36698037</v>
      </c>
      <c r="H1177" s="23">
        <v>45146.0</v>
      </c>
      <c r="I1177" s="24" t="str">
        <f t="shared" si="1"/>
        <v>ago.</v>
      </c>
      <c r="O1177" s="8"/>
    </row>
    <row r="1178" ht="15.75" customHeight="1">
      <c r="A1178" s="9">
        <v>40.0</v>
      </c>
      <c r="B1178" s="9" t="s">
        <v>122</v>
      </c>
      <c r="C1178" s="9" t="s">
        <v>185</v>
      </c>
      <c r="D1178" s="10" t="s">
        <v>11</v>
      </c>
      <c r="E1178" s="11" t="s">
        <v>94</v>
      </c>
      <c r="F1178" s="12">
        <v>30.76</v>
      </c>
      <c r="G1178" s="12">
        <f>F1178-'Estatística'!$D$6/'Estatística'!$D$10</f>
        <v>29.75698037</v>
      </c>
      <c r="H1178" s="13">
        <v>45146.0</v>
      </c>
      <c r="I1178" s="14" t="str">
        <f t="shared" si="1"/>
        <v>ago.</v>
      </c>
      <c r="O1178" s="8"/>
    </row>
    <row r="1179" ht="15.75" customHeight="1">
      <c r="A1179" s="19">
        <v>16.0</v>
      </c>
      <c r="B1179" s="19" t="s">
        <v>175</v>
      </c>
      <c r="C1179" s="19" t="s">
        <v>176</v>
      </c>
      <c r="D1179" s="20" t="s">
        <v>30</v>
      </c>
      <c r="E1179" s="21" t="s">
        <v>97</v>
      </c>
      <c r="F1179" s="22">
        <v>5.34</v>
      </c>
      <c r="G1179" s="22">
        <f>F1179-'Estatística'!$D$6/'Estatística'!$D$10</f>
        <v>4.336980371</v>
      </c>
      <c r="H1179" s="23">
        <v>45146.0</v>
      </c>
      <c r="I1179" s="24" t="str">
        <f t="shared" si="1"/>
        <v>ago.</v>
      </c>
      <c r="O1179" s="8"/>
    </row>
    <row r="1180" ht="15.75" customHeight="1">
      <c r="A1180" s="9">
        <v>30.0</v>
      </c>
      <c r="B1180" s="9" t="s">
        <v>9</v>
      </c>
      <c r="C1180" s="9" t="s">
        <v>10</v>
      </c>
      <c r="D1180" s="10" t="s">
        <v>30</v>
      </c>
      <c r="E1180" s="11" t="s">
        <v>12</v>
      </c>
      <c r="F1180" s="12">
        <v>10.16</v>
      </c>
      <c r="G1180" s="12">
        <f>F1180-'Estatística'!$D$6/'Estatística'!$D$10</f>
        <v>9.156980371</v>
      </c>
      <c r="H1180" s="13">
        <v>45146.0</v>
      </c>
      <c r="I1180" s="14" t="str">
        <f t="shared" si="1"/>
        <v>ago.</v>
      </c>
      <c r="O1180" s="8"/>
    </row>
    <row r="1181" ht="15.75" customHeight="1">
      <c r="A1181" s="19">
        <v>32.0</v>
      </c>
      <c r="B1181" s="19" t="s">
        <v>146</v>
      </c>
      <c r="C1181" s="19" t="s">
        <v>147</v>
      </c>
      <c r="D1181" s="20" t="s">
        <v>11</v>
      </c>
      <c r="E1181" s="21" t="s">
        <v>94</v>
      </c>
      <c r="F1181" s="22">
        <v>29.83</v>
      </c>
      <c r="G1181" s="22">
        <f>F1181-'Estatística'!$D$6/'Estatística'!$D$10</f>
        <v>28.82698037</v>
      </c>
      <c r="H1181" s="23">
        <v>45146.0</v>
      </c>
      <c r="I1181" s="24" t="str">
        <f t="shared" si="1"/>
        <v>ago.</v>
      </c>
      <c r="O1181" s="8"/>
    </row>
    <row r="1182" ht="15.75" customHeight="1">
      <c r="A1182" s="9">
        <v>34.0</v>
      </c>
      <c r="B1182" s="9" t="s">
        <v>177</v>
      </c>
      <c r="C1182" s="9" t="s">
        <v>178</v>
      </c>
      <c r="D1182" s="10" t="s">
        <v>11</v>
      </c>
      <c r="E1182" s="11" t="s">
        <v>31</v>
      </c>
      <c r="F1182" s="12">
        <v>36.46</v>
      </c>
      <c r="G1182" s="12">
        <f>F1182-'Estatística'!$D$6/'Estatística'!$D$10</f>
        <v>35.45698037</v>
      </c>
      <c r="H1182" s="13">
        <v>45147.0</v>
      </c>
      <c r="I1182" s="14" t="str">
        <f t="shared" si="1"/>
        <v>ago.</v>
      </c>
      <c r="O1182" s="8"/>
    </row>
    <row r="1183" ht="15.75" customHeight="1">
      <c r="A1183" s="19">
        <v>63.0</v>
      </c>
      <c r="B1183" s="19" t="s">
        <v>225</v>
      </c>
      <c r="C1183" s="19" t="s">
        <v>226</v>
      </c>
      <c r="D1183" s="20" t="s">
        <v>11</v>
      </c>
      <c r="E1183" s="21" t="s">
        <v>46</v>
      </c>
      <c r="F1183" s="22">
        <v>12.21</v>
      </c>
      <c r="G1183" s="22">
        <f>F1183-'Estatística'!$D$6/'Estatística'!$D$10</f>
        <v>11.20698037</v>
      </c>
      <c r="H1183" s="23">
        <v>45147.0</v>
      </c>
      <c r="I1183" s="24" t="str">
        <f t="shared" si="1"/>
        <v>ago.</v>
      </c>
      <c r="O1183" s="8"/>
    </row>
    <row r="1184" ht="15.75" customHeight="1">
      <c r="A1184" s="9">
        <v>30.0</v>
      </c>
      <c r="B1184" s="9" t="s">
        <v>9</v>
      </c>
      <c r="C1184" s="9" t="s">
        <v>10</v>
      </c>
      <c r="D1184" s="10" t="s">
        <v>11</v>
      </c>
      <c r="E1184" s="11" t="s">
        <v>82</v>
      </c>
      <c r="F1184" s="12">
        <v>14.8</v>
      </c>
      <c r="G1184" s="12">
        <f>F1184-'Estatística'!$D$6/'Estatística'!$D$10</f>
        <v>13.79698037</v>
      </c>
      <c r="H1184" s="13">
        <v>45147.0</v>
      </c>
      <c r="I1184" s="14" t="str">
        <f t="shared" si="1"/>
        <v>ago.</v>
      </c>
      <c r="O1184" s="8"/>
    </row>
    <row r="1185" ht="15.75" customHeight="1">
      <c r="A1185" s="19">
        <v>46.0</v>
      </c>
      <c r="B1185" s="19" t="s">
        <v>143</v>
      </c>
      <c r="C1185" s="19" t="s">
        <v>144</v>
      </c>
      <c r="D1185" s="20" t="s">
        <v>11</v>
      </c>
      <c r="E1185" s="21" t="s">
        <v>85</v>
      </c>
      <c r="F1185" s="22">
        <v>14.56</v>
      </c>
      <c r="G1185" s="22">
        <f>F1185-'Estatística'!$D$6/'Estatística'!$D$10</f>
        <v>13.55698037</v>
      </c>
      <c r="H1185" s="23">
        <v>45147.0</v>
      </c>
      <c r="I1185" s="24" t="str">
        <f t="shared" si="1"/>
        <v>ago.</v>
      </c>
      <c r="O1185" s="8"/>
    </row>
    <row r="1186" ht="15.75" customHeight="1">
      <c r="A1186" s="9">
        <v>59.0</v>
      </c>
      <c r="B1186" s="9" t="s">
        <v>103</v>
      </c>
      <c r="C1186" s="9" t="s">
        <v>104</v>
      </c>
      <c r="D1186" s="10" t="s">
        <v>30</v>
      </c>
      <c r="E1186" s="11" t="s">
        <v>43</v>
      </c>
      <c r="F1186" s="12">
        <v>16.36</v>
      </c>
      <c r="G1186" s="12">
        <f>F1186-'Estatística'!$D$6/'Estatística'!$D$10</f>
        <v>15.35698037</v>
      </c>
      <c r="H1186" s="13">
        <v>45147.0</v>
      </c>
      <c r="I1186" s="14" t="str">
        <f t="shared" si="1"/>
        <v>ago.</v>
      </c>
      <c r="O1186" s="8"/>
    </row>
    <row r="1187" ht="15.75" customHeight="1">
      <c r="A1187" s="19">
        <v>91.0</v>
      </c>
      <c r="B1187" s="19" t="s">
        <v>112</v>
      </c>
      <c r="C1187" s="19" t="s">
        <v>113</v>
      </c>
      <c r="D1187" s="20" t="s">
        <v>11</v>
      </c>
      <c r="E1187" s="21" t="s">
        <v>43</v>
      </c>
      <c r="F1187" s="22">
        <v>18.89</v>
      </c>
      <c r="G1187" s="22">
        <f>F1187-'Estatística'!$D$6/'Estatística'!$D$10</f>
        <v>17.88698037</v>
      </c>
      <c r="H1187" s="23">
        <v>45148.0</v>
      </c>
      <c r="I1187" s="24" t="str">
        <f t="shared" si="1"/>
        <v>ago.</v>
      </c>
      <c r="O1187" s="8"/>
    </row>
    <row r="1188" ht="15.75" customHeight="1">
      <c r="A1188" s="9">
        <v>84.0</v>
      </c>
      <c r="B1188" s="9" t="s">
        <v>141</v>
      </c>
      <c r="C1188" s="9" t="s">
        <v>142</v>
      </c>
      <c r="D1188" s="10" t="s">
        <v>11</v>
      </c>
      <c r="E1188" s="11" t="s">
        <v>88</v>
      </c>
      <c r="F1188" s="12">
        <v>40.85</v>
      </c>
      <c r="G1188" s="12">
        <f>F1188-'Estatística'!$D$6/'Estatística'!$D$10</f>
        <v>39.84698037</v>
      </c>
      <c r="H1188" s="13">
        <v>45148.0</v>
      </c>
      <c r="I1188" s="14" t="str">
        <f t="shared" si="1"/>
        <v>ago.</v>
      </c>
      <c r="O1188" s="8"/>
    </row>
    <row r="1189" ht="15.75" customHeight="1">
      <c r="A1189" s="19">
        <v>20.0</v>
      </c>
      <c r="B1189" s="19" t="s">
        <v>161</v>
      </c>
      <c r="C1189" s="19" t="s">
        <v>162</v>
      </c>
      <c r="D1189" s="20" t="s">
        <v>11</v>
      </c>
      <c r="E1189" s="21" t="s">
        <v>79</v>
      </c>
      <c r="F1189" s="22">
        <v>26.58</v>
      </c>
      <c r="G1189" s="22">
        <f>F1189-'Estatística'!$D$6/'Estatística'!$D$10</f>
        <v>25.57698037</v>
      </c>
      <c r="H1189" s="23">
        <v>45148.0</v>
      </c>
      <c r="I1189" s="24" t="str">
        <f t="shared" si="1"/>
        <v>ago.</v>
      </c>
      <c r="O1189" s="8"/>
    </row>
    <row r="1190" ht="15.75" customHeight="1">
      <c r="A1190" s="9">
        <v>80.0</v>
      </c>
      <c r="B1190" s="9" t="s">
        <v>37</v>
      </c>
      <c r="C1190" s="9" t="s">
        <v>38</v>
      </c>
      <c r="D1190" s="10" t="s">
        <v>11</v>
      </c>
      <c r="E1190" s="11" t="s">
        <v>72</v>
      </c>
      <c r="F1190" s="12">
        <v>17.42</v>
      </c>
      <c r="G1190" s="12">
        <f>F1190-'Estatística'!$D$6/'Estatística'!$D$10</f>
        <v>16.41698037</v>
      </c>
      <c r="H1190" s="13">
        <v>45148.0</v>
      </c>
      <c r="I1190" s="14" t="str">
        <f t="shared" si="1"/>
        <v>ago.</v>
      </c>
      <c r="O1190" s="8"/>
    </row>
    <row r="1191" ht="15.75" customHeight="1">
      <c r="A1191" s="19">
        <v>66.0</v>
      </c>
      <c r="B1191" s="19" t="s">
        <v>150</v>
      </c>
      <c r="C1191" s="19" t="s">
        <v>158</v>
      </c>
      <c r="D1191" s="20" t="s">
        <v>11</v>
      </c>
      <c r="E1191" s="21" t="s">
        <v>97</v>
      </c>
      <c r="F1191" s="22">
        <v>3.66</v>
      </c>
      <c r="G1191" s="22">
        <f>F1191-'Estatística'!$D$6/'Estatística'!$D$10</f>
        <v>2.656980371</v>
      </c>
      <c r="H1191" s="23">
        <v>45148.0</v>
      </c>
      <c r="I1191" s="24" t="str">
        <f t="shared" si="1"/>
        <v>ago.</v>
      </c>
      <c r="O1191" s="8"/>
    </row>
    <row r="1192" ht="15.75" customHeight="1">
      <c r="A1192" s="9">
        <v>53.0</v>
      </c>
      <c r="B1192" s="9" t="s">
        <v>241</v>
      </c>
      <c r="C1192" s="9" t="s">
        <v>242</v>
      </c>
      <c r="D1192" s="10" t="s">
        <v>30</v>
      </c>
      <c r="E1192" s="11" t="s">
        <v>94</v>
      </c>
      <c r="F1192" s="12">
        <v>29.75</v>
      </c>
      <c r="G1192" s="12">
        <f>F1192-'Estatística'!$D$6/'Estatística'!$D$10</f>
        <v>28.74698037</v>
      </c>
      <c r="H1192" s="13">
        <v>45148.0</v>
      </c>
      <c r="I1192" s="14" t="str">
        <f t="shared" si="1"/>
        <v>ago.</v>
      </c>
      <c r="O1192" s="8"/>
    </row>
    <row r="1193" ht="15.75" customHeight="1">
      <c r="A1193" s="19">
        <v>98.0</v>
      </c>
      <c r="B1193" s="19" t="s">
        <v>159</v>
      </c>
      <c r="C1193" s="19" t="s">
        <v>196</v>
      </c>
      <c r="D1193" s="20" t="s">
        <v>11</v>
      </c>
      <c r="E1193" s="21" t="s">
        <v>97</v>
      </c>
      <c r="F1193" s="22">
        <v>5.0</v>
      </c>
      <c r="G1193" s="22">
        <f>F1193-'Estatística'!$D$6/'Estatística'!$D$10</f>
        <v>3.996980371</v>
      </c>
      <c r="H1193" s="23">
        <v>45148.0</v>
      </c>
      <c r="I1193" s="24" t="str">
        <f t="shared" si="1"/>
        <v>ago.</v>
      </c>
      <c r="O1193" s="8"/>
    </row>
    <row r="1194" ht="15.75" customHeight="1">
      <c r="A1194" s="9">
        <v>54.0</v>
      </c>
      <c r="B1194" s="9" t="s">
        <v>86</v>
      </c>
      <c r="C1194" s="9" t="s">
        <v>87</v>
      </c>
      <c r="D1194" s="10" t="s">
        <v>30</v>
      </c>
      <c r="E1194" s="11" t="s">
        <v>31</v>
      </c>
      <c r="F1194" s="12">
        <v>45.16</v>
      </c>
      <c r="G1194" s="12">
        <f>F1194-'Estatística'!$D$6/'Estatística'!$D$10</f>
        <v>44.15698037</v>
      </c>
      <c r="H1194" s="13">
        <v>45148.0</v>
      </c>
      <c r="I1194" s="14" t="str">
        <f t="shared" si="1"/>
        <v>ago.</v>
      </c>
      <c r="O1194" s="8"/>
    </row>
    <row r="1195" ht="15.75" customHeight="1">
      <c r="A1195" s="19">
        <v>79.0</v>
      </c>
      <c r="B1195" s="19" t="s">
        <v>101</v>
      </c>
      <c r="C1195" s="19" t="s">
        <v>102</v>
      </c>
      <c r="D1195" s="20" t="s">
        <v>30</v>
      </c>
      <c r="E1195" s="21" t="s">
        <v>94</v>
      </c>
      <c r="F1195" s="22">
        <v>29.87</v>
      </c>
      <c r="G1195" s="22">
        <f>F1195-'Estatística'!$D$6/'Estatística'!$D$10</f>
        <v>28.86698037</v>
      </c>
      <c r="H1195" s="23">
        <v>45148.0</v>
      </c>
      <c r="I1195" s="24" t="str">
        <f t="shared" si="1"/>
        <v>ago.</v>
      </c>
      <c r="O1195" s="8"/>
    </row>
    <row r="1196" ht="15.75" customHeight="1">
      <c r="A1196" s="9">
        <v>11.0</v>
      </c>
      <c r="B1196" s="9" t="s">
        <v>227</v>
      </c>
      <c r="C1196" s="9" t="s">
        <v>228</v>
      </c>
      <c r="D1196" s="10" t="s">
        <v>30</v>
      </c>
      <c r="E1196" s="11" t="s">
        <v>91</v>
      </c>
      <c r="F1196" s="12">
        <v>4.38</v>
      </c>
      <c r="G1196" s="12">
        <f>F1196-'Estatística'!$D$6/'Estatística'!$D$10</f>
        <v>3.376980371</v>
      </c>
      <c r="H1196" s="13">
        <v>45148.0</v>
      </c>
      <c r="I1196" s="14" t="str">
        <f t="shared" si="1"/>
        <v>ago.</v>
      </c>
      <c r="O1196" s="8"/>
    </row>
    <row r="1197" ht="15.75" customHeight="1">
      <c r="A1197" s="19">
        <v>6.0</v>
      </c>
      <c r="B1197" s="19" t="s">
        <v>183</v>
      </c>
      <c r="C1197" s="19" t="s">
        <v>184</v>
      </c>
      <c r="D1197" s="20" t="s">
        <v>30</v>
      </c>
      <c r="E1197" s="21" t="s">
        <v>94</v>
      </c>
      <c r="F1197" s="22">
        <v>27.43</v>
      </c>
      <c r="G1197" s="22">
        <f>F1197-'Estatística'!$D$6/'Estatística'!$D$10</f>
        <v>26.42698037</v>
      </c>
      <c r="H1197" s="23">
        <v>45148.0</v>
      </c>
      <c r="I1197" s="24" t="str">
        <f t="shared" si="1"/>
        <v>ago.</v>
      </c>
      <c r="O1197" s="8"/>
    </row>
    <row r="1198" ht="15.75" customHeight="1">
      <c r="A1198" s="9">
        <v>12.0</v>
      </c>
      <c r="B1198" s="9" t="s">
        <v>188</v>
      </c>
      <c r="C1198" s="9" t="s">
        <v>189</v>
      </c>
      <c r="D1198" s="10" t="s">
        <v>30</v>
      </c>
      <c r="E1198" s="11" t="s">
        <v>12</v>
      </c>
      <c r="F1198" s="12">
        <v>10.14</v>
      </c>
      <c r="G1198" s="12">
        <f>F1198-'Estatística'!$D$6/'Estatística'!$D$10</f>
        <v>9.136980371</v>
      </c>
      <c r="H1198" s="13">
        <v>45148.0</v>
      </c>
      <c r="I1198" s="14" t="str">
        <f t="shared" si="1"/>
        <v>ago.</v>
      </c>
      <c r="O1198" s="8"/>
    </row>
    <row r="1199" ht="15.75" customHeight="1">
      <c r="A1199" s="19">
        <v>36.0</v>
      </c>
      <c r="B1199" s="19" t="s">
        <v>92</v>
      </c>
      <c r="C1199" s="19" t="s">
        <v>93</v>
      </c>
      <c r="D1199" s="20" t="s">
        <v>11</v>
      </c>
      <c r="E1199" s="21" t="s">
        <v>52</v>
      </c>
      <c r="F1199" s="22">
        <v>68.3</v>
      </c>
      <c r="G1199" s="22">
        <f>F1199-'Estatística'!$D$6/'Estatística'!$D$10</f>
        <v>67.29698037</v>
      </c>
      <c r="H1199" s="23">
        <v>45148.0</v>
      </c>
      <c r="I1199" s="24" t="str">
        <f t="shared" si="1"/>
        <v>ago.</v>
      </c>
      <c r="O1199" s="8"/>
    </row>
    <row r="1200" ht="15.75" customHeight="1">
      <c r="A1200" s="9">
        <v>26.0</v>
      </c>
      <c r="B1200" s="9" t="s">
        <v>211</v>
      </c>
      <c r="C1200" s="9" t="s">
        <v>212</v>
      </c>
      <c r="D1200" s="10" t="s">
        <v>11</v>
      </c>
      <c r="E1200" s="11" t="s">
        <v>35</v>
      </c>
      <c r="F1200" s="12">
        <v>15.51</v>
      </c>
      <c r="G1200" s="12">
        <f>F1200-'Estatística'!$D$6/'Estatística'!$D$10</f>
        <v>14.50698037</v>
      </c>
      <c r="H1200" s="13">
        <v>45149.0</v>
      </c>
      <c r="I1200" s="14" t="str">
        <f t="shared" si="1"/>
        <v>ago.</v>
      </c>
      <c r="O1200" s="8"/>
    </row>
    <row r="1201" ht="15.75" customHeight="1">
      <c r="A1201" s="19">
        <v>79.0</v>
      </c>
      <c r="B1201" s="19" t="s">
        <v>101</v>
      </c>
      <c r="C1201" s="19" t="s">
        <v>102</v>
      </c>
      <c r="D1201" s="20" t="s">
        <v>30</v>
      </c>
      <c r="E1201" s="21" t="s">
        <v>12</v>
      </c>
      <c r="F1201" s="22">
        <v>10.83</v>
      </c>
      <c r="G1201" s="22">
        <f>F1201-'Estatística'!$D$6/'Estatística'!$D$10</f>
        <v>9.826980371</v>
      </c>
      <c r="H1201" s="23">
        <v>45149.0</v>
      </c>
      <c r="I1201" s="24" t="str">
        <f t="shared" si="1"/>
        <v>ago.</v>
      </c>
      <c r="O1201" s="8"/>
    </row>
    <row r="1202" ht="15.75" customHeight="1">
      <c r="A1202" s="9">
        <v>8.0</v>
      </c>
      <c r="B1202" s="9" t="s">
        <v>108</v>
      </c>
      <c r="C1202" s="9" t="s">
        <v>109</v>
      </c>
      <c r="D1202" s="10" t="s">
        <v>30</v>
      </c>
      <c r="E1202" s="11" t="s">
        <v>82</v>
      </c>
      <c r="F1202" s="12">
        <v>11.25</v>
      </c>
      <c r="G1202" s="12">
        <f>F1202-'Estatística'!$D$6/'Estatística'!$D$10</f>
        <v>10.24698037</v>
      </c>
      <c r="H1202" s="13">
        <v>45149.0</v>
      </c>
      <c r="I1202" s="14" t="str">
        <f t="shared" si="1"/>
        <v>ago.</v>
      </c>
      <c r="O1202" s="8"/>
    </row>
    <row r="1203" ht="15.75" customHeight="1">
      <c r="A1203" s="19">
        <v>86.0</v>
      </c>
      <c r="B1203" s="19" t="s">
        <v>62</v>
      </c>
      <c r="C1203" s="19" t="s">
        <v>63</v>
      </c>
      <c r="D1203" s="20" t="s">
        <v>30</v>
      </c>
      <c r="E1203" s="21" t="s">
        <v>76</v>
      </c>
      <c r="F1203" s="22">
        <v>11.62</v>
      </c>
      <c r="G1203" s="22">
        <f>F1203-'Estatística'!$D$6/'Estatística'!$D$10</f>
        <v>10.61698037</v>
      </c>
      <c r="H1203" s="23">
        <v>45149.0</v>
      </c>
      <c r="I1203" s="24" t="str">
        <f t="shared" si="1"/>
        <v>ago.</v>
      </c>
      <c r="O1203" s="8"/>
    </row>
    <row r="1204" ht="15.75" customHeight="1">
      <c r="A1204" s="9">
        <v>31.0</v>
      </c>
      <c r="B1204" s="9" t="s">
        <v>229</v>
      </c>
      <c r="C1204" s="9" t="s">
        <v>230</v>
      </c>
      <c r="D1204" s="10" t="s">
        <v>30</v>
      </c>
      <c r="E1204" s="11" t="s">
        <v>60</v>
      </c>
      <c r="F1204" s="12">
        <v>46.29</v>
      </c>
      <c r="G1204" s="12">
        <f>F1204-'Estatística'!$D$6/'Estatística'!$D$10</f>
        <v>45.28698037</v>
      </c>
      <c r="H1204" s="13">
        <v>45149.0</v>
      </c>
      <c r="I1204" s="14" t="str">
        <f t="shared" si="1"/>
        <v>ago.</v>
      </c>
      <c r="O1204" s="8"/>
    </row>
    <row r="1205" ht="15.75" customHeight="1">
      <c r="A1205" s="19">
        <v>83.0</v>
      </c>
      <c r="B1205" s="19" t="s">
        <v>98</v>
      </c>
      <c r="C1205" s="19" t="s">
        <v>99</v>
      </c>
      <c r="D1205" s="20" t="s">
        <v>30</v>
      </c>
      <c r="E1205" s="21" t="s">
        <v>94</v>
      </c>
      <c r="F1205" s="22">
        <v>32.03</v>
      </c>
      <c r="G1205" s="22">
        <f>F1205-'Estatística'!$D$6/'Estatística'!$D$10</f>
        <v>31.02698037</v>
      </c>
      <c r="H1205" s="23">
        <v>45150.0</v>
      </c>
      <c r="I1205" s="24" t="str">
        <f t="shared" si="1"/>
        <v>ago.</v>
      </c>
      <c r="O1205" s="8"/>
    </row>
    <row r="1206" ht="15.75" customHeight="1">
      <c r="A1206" s="9">
        <v>32.0</v>
      </c>
      <c r="B1206" s="9" t="s">
        <v>146</v>
      </c>
      <c r="C1206" s="9" t="s">
        <v>147</v>
      </c>
      <c r="D1206" s="10" t="s">
        <v>11</v>
      </c>
      <c r="E1206" s="11" t="s">
        <v>50</v>
      </c>
      <c r="F1206" s="12">
        <v>21.86</v>
      </c>
      <c r="G1206" s="12">
        <f>F1206-'Estatística'!$D$6/'Estatística'!$D$10</f>
        <v>20.85698037</v>
      </c>
      <c r="H1206" s="13">
        <v>45150.0</v>
      </c>
      <c r="I1206" s="14" t="str">
        <f t="shared" si="1"/>
        <v>ago.</v>
      </c>
      <c r="O1206" s="8"/>
    </row>
    <row r="1207" ht="15.75" customHeight="1">
      <c r="A1207" s="19">
        <v>46.0</v>
      </c>
      <c r="B1207" s="19" t="s">
        <v>143</v>
      </c>
      <c r="C1207" s="19" t="s">
        <v>144</v>
      </c>
      <c r="D1207" s="20" t="s">
        <v>30</v>
      </c>
      <c r="E1207" s="21" t="s">
        <v>68</v>
      </c>
      <c r="F1207" s="22">
        <v>15.05</v>
      </c>
      <c r="G1207" s="22">
        <f>F1207-'Estatística'!$D$6/'Estatística'!$D$10</f>
        <v>14.04698037</v>
      </c>
      <c r="H1207" s="23">
        <v>45150.0</v>
      </c>
      <c r="I1207" s="24" t="str">
        <f t="shared" si="1"/>
        <v>ago.</v>
      </c>
      <c r="O1207" s="8"/>
    </row>
    <row r="1208" ht="15.75" customHeight="1">
      <c r="A1208" s="9">
        <v>52.0</v>
      </c>
      <c r="B1208" s="9" t="s">
        <v>181</v>
      </c>
      <c r="C1208" s="9" t="s">
        <v>182</v>
      </c>
      <c r="D1208" s="10" t="s">
        <v>11</v>
      </c>
      <c r="E1208" s="11" t="s">
        <v>50</v>
      </c>
      <c r="F1208" s="12">
        <v>31.14</v>
      </c>
      <c r="G1208" s="12">
        <f>F1208-'Estatística'!$D$6/'Estatística'!$D$10</f>
        <v>30.13698037</v>
      </c>
      <c r="H1208" s="13">
        <v>45150.0</v>
      </c>
      <c r="I1208" s="14" t="str">
        <f t="shared" si="1"/>
        <v>ago.</v>
      </c>
      <c r="O1208" s="8"/>
    </row>
    <row r="1209" ht="15.75" customHeight="1">
      <c r="A1209" s="19">
        <v>50.0</v>
      </c>
      <c r="B1209" s="19" t="s">
        <v>33</v>
      </c>
      <c r="C1209" s="19" t="s">
        <v>34</v>
      </c>
      <c r="D1209" s="20" t="s">
        <v>11</v>
      </c>
      <c r="E1209" s="21" t="s">
        <v>46</v>
      </c>
      <c r="F1209" s="22">
        <v>14.02</v>
      </c>
      <c r="G1209" s="22">
        <f>F1209-'Estatística'!$D$6/'Estatística'!$D$10</f>
        <v>13.01698037</v>
      </c>
      <c r="H1209" s="23">
        <v>45150.0</v>
      </c>
      <c r="I1209" s="24" t="str">
        <f t="shared" si="1"/>
        <v>ago.</v>
      </c>
      <c r="O1209" s="8"/>
    </row>
    <row r="1210" ht="15.75" customHeight="1">
      <c r="A1210" s="9">
        <v>16.0</v>
      </c>
      <c r="B1210" s="9" t="s">
        <v>175</v>
      </c>
      <c r="C1210" s="9" t="s">
        <v>176</v>
      </c>
      <c r="D1210" s="10" t="s">
        <v>30</v>
      </c>
      <c r="E1210" s="11" t="s">
        <v>88</v>
      </c>
      <c r="F1210" s="12">
        <v>42.18</v>
      </c>
      <c r="G1210" s="12">
        <f>F1210-'Estatística'!$D$6/'Estatística'!$D$10</f>
        <v>41.17698037</v>
      </c>
      <c r="H1210" s="13">
        <v>45150.0</v>
      </c>
      <c r="I1210" s="14" t="str">
        <f t="shared" si="1"/>
        <v>ago.</v>
      </c>
      <c r="O1210" s="8"/>
    </row>
    <row r="1211" ht="15.75" customHeight="1">
      <c r="A1211" s="19">
        <v>3.0</v>
      </c>
      <c r="B1211" s="19" t="s">
        <v>80</v>
      </c>
      <c r="C1211" s="19" t="s">
        <v>81</v>
      </c>
      <c r="D1211" s="20" t="s">
        <v>30</v>
      </c>
      <c r="E1211" s="21" t="s">
        <v>52</v>
      </c>
      <c r="F1211" s="22">
        <v>58.5</v>
      </c>
      <c r="G1211" s="22">
        <f>F1211-'Estatística'!$D$6/'Estatística'!$D$10</f>
        <v>57.49698037</v>
      </c>
      <c r="H1211" s="23">
        <v>45150.0</v>
      </c>
      <c r="I1211" s="24" t="str">
        <f t="shared" si="1"/>
        <v>ago.</v>
      </c>
      <c r="O1211" s="8"/>
    </row>
    <row r="1212" ht="15.75" customHeight="1">
      <c r="A1212" s="9">
        <v>31.0</v>
      </c>
      <c r="B1212" s="9" t="s">
        <v>229</v>
      </c>
      <c r="C1212" s="9" t="s">
        <v>230</v>
      </c>
      <c r="D1212" s="10" t="s">
        <v>30</v>
      </c>
      <c r="E1212" s="11" t="s">
        <v>91</v>
      </c>
      <c r="F1212" s="12">
        <v>3.19</v>
      </c>
      <c r="G1212" s="12">
        <f>F1212-'Estatística'!$D$6/'Estatística'!$D$10</f>
        <v>2.186980371</v>
      </c>
      <c r="H1212" s="13">
        <v>45150.0</v>
      </c>
      <c r="I1212" s="14" t="str">
        <f t="shared" si="1"/>
        <v>ago.</v>
      </c>
      <c r="O1212" s="8"/>
    </row>
    <row r="1213" ht="15.75" customHeight="1">
      <c r="A1213" s="19">
        <v>35.0</v>
      </c>
      <c r="B1213" s="19" t="s">
        <v>125</v>
      </c>
      <c r="C1213" s="19" t="s">
        <v>126</v>
      </c>
      <c r="D1213" s="20" t="s">
        <v>11</v>
      </c>
      <c r="E1213" s="21" t="s">
        <v>35</v>
      </c>
      <c r="F1213" s="22">
        <v>13.23</v>
      </c>
      <c r="G1213" s="22">
        <f>F1213-'Estatística'!$D$6/'Estatística'!$D$10</f>
        <v>12.22698037</v>
      </c>
      <c r="H1213" s="23">
        <v>45150.0</v>
      </c>
      <c r="I1213" s="24" t="str">
        <f t="shared" si="1"/>
        <v>ago.</v>
      </c>
      <c r="O1213" s="8"/>
    </row>
    <row r="1214" ht="15.75" customHeight="1">
      <c r="A1214" s="9">
        <v>36.0</v>
      </c>
      <c r="B1214" s="9" t="s">
        <v>92</v>
      </c>
      <c r="C1214" s="9" t="s">
        <v>93</v>
      </c>
      <c r="D1214" s="10" t="s">
        <v>11</v>
      </c>
      <c r="E1214" s="11" t="s">
        <v>52</v>
      </c>
      <c r="F1214" s="12">
        <v>47.88</v>
      </c>
      <c r="G1214" s="12">
        <f>F1214-'Estatística'!$D$6/'Estatística'!$D$10</f>
        <v>46.87698037</v>
      </c>
      <c r="H1214" s="13">
        <v>45151.0</v>
      </c>
      <c r="I1214" s="14" t="str">
        <f t="shared" si="1"/>
        <v>ago.</v>
      </c>
      <c r="O1214" s="8"/>
    </row>
    <row r="1215" ht="15.75" customHeight="1">
      <c r="A1215" s="19">
        <v>61.0</v>
      </c>
      <c r="B1215" s="19" t="s">
        <v>106</v>
      </c>
      <c r="C1215" s="19" t="s">
        <v>107</v>
      </c>
      <c r="D1215" s="20" t="s">
        <v>30</v>
      </c>
      <c r="E1215" s="21" t="s">
        <v>82</v>
      </c>
      <c r="F1215" s="22">
        <v>10.56</v>
      </c>
      <c r="G1215" s="22">
        <f>F1215-'Estatística'!$D$6/'Estatística'!$D$10</f>
        <v>9.556980371</v>
      </c>
      <c r="H1215" s="23">
        <v>45151.0</v>
      </c>
      <c r="I1215" s="24" t="str">
        <f t="shared" si="1"/>
        <v>ago.</v>
      </c>
      <c r="O1215" s="8"/>
    </row>
    <row r="1216" ht="15.75" customHeight="1">
      <c r="A1216" s="9">
        <v>79.0</v>
      </c>
      <c r="B1216" s="9" t="s">
        <v>101</v>
      </c>
      <c r="C1216" s="9" t="s">
        <v>102</v>
      </c>
      <c r="D1216" s="10" t="s">
        <v>30</v>
      </c>
      <c r="E1216" s="11" t="s">
        <v>85</v>
      </c>
      <c r="F1216" s="12">
        <v>16.77</v>
      </c>
      <c r="G1216" s="12">
        <f>F1216-'Estatística'!$D$6/'Estatística'!$D$10</f>
        <v>15.76698037</v>
      </c>
      <c r="H1216" s="13">
        <v>45151.0</v>
      </c>
      <c r="I1216" s="14" t="str">
        <f t="shared" si="1"/>
        <v>ago.</v>
      </c>
      <c r="O1216" s="8"/>
    </row>
    <row r="1217" ht="15.75" customHeight="1">
      <c r="A1217" s="19">
        <v>9.0</v>
      </c>
      <c r="B1217" s="19" t="s">
        <v>207</v>
      </c>
      <c r="C1217" s="19" t="s">
        <v>208</v>
      </c>
      <c r="D1217" s="20" t="s">
        <v>30</v>
      </c>
      <c r="E1217" s="21" t="s">
        <v>85</v>
      </c>
      <c r="F1217" s="22">
        <v>16.56</v>
      </c>
      <c r="G1217" s="22">
        <f>F1217-'Estatística'!$D$6/'Estatística'!$D$10</f>
        <v>15.55698037</v>
      </c>
      <c r="H1217" s="23">
        <v>45151.0</v>
      </c>
      <c r="I1217" s="24" t="str">
        <f t="shared" si="1"/>
        <v>ago.</v>
      </c>
      <c r="O1217" s="8"/>
    </row>
    <row r="1218" ht="15.75" customHeight="1">
      <c r="A1218" s="9">
        <v>12.0</v>
      </c>
      <c r="B1218" s="9" t="s">
        <v>188</v>
      </c>
      <c r="C1218" s="9" t="s">
        <v>189</v>
      </c>
      <c r="D1218" s="10" t="s">
        <v>11</v>
      </c>
      <c r="E1218" s="11" t="s">
        <v>79</v>
      </c>
      <c r="F1218" s="12">
        <v>34.37</v>
      </c>
      <c r="G1218" s="12">
        <f>F1218-'Estatística'!$D$6/'Estatística'!$D$10</f>
        <v>33.36698037</v>
      </c>
      <c r="H1218" s="13">
        <v>45151.0</v>
      </c>
      <c r="I1218" s="14" t="str">
        <f t="shared" si="1"/>
        <v>ago.</v>
      </c>
      <c r="O1218" s="8"/>
    </row>
    <row r="1219" ht="15.75" customHeight="1">
      <c r="A1219" s="19">
        <v>49.0</v>
      </c>
      <c r="B1219" s="19" t="s">
        <v>179</v>
      </c>
      <c r="C1219" s="19" t="s">
        <v>180</v>
      </c>
      <c r="D1219" s="20" t="s">
        <v>30</v>
      </c>
      <c r="E1219" s="21" t="s">
        <v>94</v>
      </c>
      <c r="F1219" s="22">
        <v>26.47</v>
      </c>
      <c r="G1219" s="22">
        <f>F1219-'Estatística'!$D$6/'Estatística'!$D$10</f>
        <v>25.46698037</v>
      </c>
      <c r="H1219" s="23">
        <v>45151.0</v>
      </c>
      <c r="I1219" s="24" t="str">
        <f t="shared" si="1"/>
        <v>ago.</v>
      </c>
      <c r="O1219" s="8"/>
    </row>
    <row r="1220" ht="15.75" customHeight="1">
      <c r="A1220" s="9">
        <v>83.0</v>
      </c>
      <c r="B1220" s="9" t="s">
        <v>98</v>
      </c>
      <c r="C1220" s="9" t="s">
        <v>99</v>
      </c>
      <c r="D1220" s="10" t="s">
        <v>30</v>
      </c>
      <c r="E1220" s="11" t="s">
        <v>60</v>
      </c>
      <c r="F1220" s="12">
        <v>46.98</v>
      </c>
      <c r="G1220" s="12">
        <f>F1220-'Estatística'!$D$6/'Estatística'!$D$10</f>
        <v>45.97698037</v>
      </c>
      <c r="H1220" s="13">
        <v>45152.0</v>
      </c>
      <c r="I1220" s="14" t="str">
        <f t="shared" si="1"/>
        <v>ago.</v>
      </c>
      <c r="O1220" s="8"/>
    </row>
    <row r="1221" ht="15.75" customHeight="1">
      <c r="A1221" s="19">
        <v>51.0</v>
      </c>
      <c r="B1221" s="19" t="s">
        <v>233</v>
      </c>
      <c r="C1221" s="19" t="s">
        <v>234</v>
      </c>
      <c r="D1221" s="20" t="s">
        <v>11</v>
      </c>
      <c r="E1221" s="21" t="s">
        <v>68</v>
      </c>
      <c r="F1221" s="22">
        <v>17.29</v>
      </c>
      <c r="G1221" s="22">
        <f>F1221-'Estatística'!$D$6/'Estatística'!$D$10</f>
        <v>16.28698037</v>
      </c>
      <c r="H1221" s="23">
        <v>45152.0</v>
      </c>
      <c r="I1221" s="24" t="str">
        <f t="shared" si="1"/>
        <v>ago.</v>
      </c>
      <c r="O1221" s="8"/>
    </row>
    <row r="1222" ht="15.75" customHeight="1">
      <c r="A1222" s="9">
        <v>10.0</v>
      </c>
      <c r="B1222" s="9" t="s">
        <v>148</v>
      </c>
      <c r="C1222" s="9" t="s">
        <v>149</v>
      </c>
      <c r="D1222" s="10" t="s">
        <v>30</v>
      </c>
      <c r="E1222" s="11" t="s">
        <v>56</v>
      </c>
      <c r="F1222" s="12">
        <v>63.18</v>
      </c>
      <c r="G1222" s="12">
        <f>F1222-'Estatística'!$D$6/'Estatística'!$D$10</f>
        <v>62.17698037</v>
      </c>
      <c r="H1222" s="13">
        <v>45152.0</v>
      </c>
      <c r="I1222" s="14" t="str">
        <f t="shared" si="1"/>
        <v>ago.</v>
      </c>
      <c r="O1222" s="8"/>
    </row>
    <row r="1223" ht="15.75" customHeight="1">
      <c r="A1223" s="19">
        <v>85.0</v>
      </c>
      <c r="B1223" s="19" t="s">
        <v>198</v>
      </c>
      <c r="C1223" s="19" t="s">
        <v>199</v>
      </c>
      <c r="D1223" s="20" t="s">
        <v>30</v>
      </c>
      <c r="E1223" s="21" t="s">
        <v>50</v>
      </c>
      <c r="F1223" s="22">
        <v>32.39</v>
      </c>
      <c r="G1223" s="22">
        <f>F1223-'Estatística'!$D$6/'Estatística'!$D$10</f>
        <v>31.38698037</v>
      </c>
      <c r="H1223" s="23">
        <v>45152.0</v>
      </c>
      <c r="I1223" s="24" t="str">
        <f t="shared" si="1"/>
        <v>ago.</v>
      </c>
      <c r="O1223" s="8"/>
    </row>
    <row r="1224" ht="15.75" customHeight="1">
      <c r="A1224" s="9">
        <v>79.0</v>
      </c>
      <c r="B1224" s="9" t="s">
        <v>101</v>
      </c>
      <c r="C1224" s="9" t="s">
        <v>102</v>
      </c>
      <c r="D1224" s="10" t="s">
        <v>11</v>
      </c>
      <c r="E1224" s="11" t="s">
        <v>35</v>
      </c>
      <c r="F1224" s="12">
        <v>17.69</v>
      </c>
      <c r="G1224" s="12">
        <f>F1224-'Estatística'!$D$6/'Estatística'!$D$10</f>
        <v>16.68698037</v>
      </c>
      <c r="H1224" s="13">
        <v>45152.0</v>
      </c>
      <c r="I1224" s="14" t="str">
        <f t="shared" si="1"/>
        <v>ago.</v>
      </c>
      <c r="O1224" s="8"/>
    </row>
    <row r="1225" ht="15.75" customHeight="1">
      <c r="A1225" s="19">
        <v>62.0</v>
      </c>
      <c r="B1225" s="19" t="s">
        <v>156</v>
      </c>
      <c r="C1225" s="19" t="s">
        <v>157</v>
      </c>
      <c r="D1225" s="20" t="s">
        <v>30</v>
      </c>
      <c r="E1225" s="21" t="s">
        <v>68</v>
      </c>
      <c r="F1225" s="22">
        <v>19.17</v>
      </c>
      <c r="G1225" s="22">
        <f>F1225-'Estatística'!$D$6/'Estatística'!$D$10</f>
        <v>18.16698037</v>
      </c>
      <c r="H1225" s="23">
        <v>45152.0</v>
      </c>
      <c r="I1225" s="24" t="str">
        <f t="shared" si="1"/>
        <v>ago.</v>
      </c>
      <c r="O1225" s="8"/>
    </row>
    <row r="1226" ht="15.75" customHeight="1">
      <c r="A1226" s="9">
        <v>6.0</v>
      </c>
      <c r="B1226" s="9" t="s">
        <v>183</v>
      </c>
      <c r="C1226" s="9" t="s">
        <v>184</v>
      </c>
      <c r="D1226" s="10" t="s">
        <v>11</v>
      </c>
      <c r="E1226" s="11" t="s">
        <v>56</v>
      </c>
      <c r="F1226" s="12">
        <v>72.37</v>
      </c>
      <c r="G1226" s="12">
        <f>F1226-'Estatística'!$D$6/'Estatística'!$D$10</f>
        <v>71.36698037</v>
      </c>
      <c r="H1226" s="13">
        <v>45153.0</v>
      </c>
      <c r="I1226" s="14" t="str">
        <f t="shared" si="1"/>
        <v>ago.</v>
      </c>
      <c r="O1226" s="8"/>
    </row>
    <row r="1227" ht="15.75" customHeight="1">
      <c r="A1227" s="19">
        <v>53.0</v>
      </c>
      <c r="B1227" s="19" t="s">
        <v>241</v>
      </c>
      <c r="C1227" s="19" t="s">
        <v>242</v>
      </c>
      <c r="D1227" s="20" t="s">
        <v>30</v>
      </c>
      <c r="E1227" s="21" t="s">
        <v>52</v>
      </c>
      <c r="F1227" s="22">
        <v>64.4</v>
      </c>
      <c r="G1227" s="22">
        <f>F1227-'Estatística'!$D$6/'Estatística'!$D$10</f>
        <v>63.39698037</v>
      </c>
      <c r="H1227" s="23">
        <v>45153.0</v>
      </c>
      <c r="I1227" s="24" t="str">
        <f t="shared" si="1"/>
        <v>ago.</v>
      </c>
      <c r="O1227" s="8"/>
    </row>
    <row r="1228" ht="15.75" customHeight="1">
      <c r="A1228" s="9">
        <v>58.0</v>
      </c>
      <c r="B1228" s="9" t="s">
        <v>165</v>
      </c>
      <c r="C1228" s="9" t="s">
        <v>166</v>
      </c>
      <c r="D1228" s="10" t="s">
        <v>30</v>
      </c>
      <c r="E1228" s="11" t="s">
        <v>39</v>
      </c>
      <c r="F1228" s="12">
        <v>27.87</v>
      </c>
      <c r="G1228" s="12">
        <f>F1228-'Estatística'!$D$6/'Estatística'!$D$10</f>
        <v>26.86698037</v>
      </c>
      <c r="H1228" s="13">
        <v>45153.0</v>
      </c>
      <c r="I1228" s="14" t="str">
        <f t="shared" si="1"/>
        <v>ago.</v>
      </c>
      <c r="O1228" s="8"/>
    </row>
    <row r="1229" ht="15.75" customHeight="1">
      <c r="A1229" s="19">
        <v>32.0</v>
      </c>
      <c r="B1229" s="19" t="s">
        <v>146</v>
      </c>
      <c r="C1229" s="19" t="s">
        <v>147</v>
      </c>
      <c r="D1229" s="20" t="s">
        <v>11</v>
      </c>
      <c r="E1229" s="21" t="s">
        <v>35</v>
      </c>
      <c r="F1229" s="22">
        <v>15.88</v>
      </c>
      <c r="G1229" s="22">
        <f>F1229-'Estatística'!$D$6/'Estatística'!$D$10</f>
        <v>14.87698037</v>
      </c>
      <c r="H1229" s="23">
        <v>45153.0</v>
      </c>
      <c r="I1229" s="24" t="str">
        <f t="shared" si="1"/>
        <v>ago.</v>
      </c>
      <c r="O1229" s="8"/>
    </row>
    <row r="1230" ht="15.75" customHeight="1">
      <c r="A1230" s="9">
        <v>17.0</v>
      </c>
      <c r="B1230" s="9" t="s">
        <v>200</v>
      </c>
      <c r="C1230" s="9" t="s">
        <v>201</v>
      </c>
      <c r="D1230" s="10" t="s">
        <v>30</v>
      </c>
      <c r="E1230" s="11" t="s">
        <v>94</v>
      </c>
      <c r="F1230" s="12">
        <v>29.79</v>
      </c>
      <c r="G1230" s="12">
        <f>F1230-'Estatística'!$D$6/'Estatística'!$D$10</f>
        <v>28.78698037</v>
      </c>
      <c r="H1230" s="13">
        <v>45153.0</v>
      </c>
      <c r="I1230" s="14" t="str">
        <f t="shared" si="1"/>
        <v>ago.</v>
      </c>
      <c r="O1230" s="8"/>
    </row>
    <row r="1231" ht="15.75" customHeight="1">
      <c r="A1231" s="19">
        <v>77.0</v>
      </c>
      <c r="B1231" s="19" t="s">
        <v>9</v>
      </c>
      <c r="C1231" s="19" t="s">
        <v>169</v>
      </c>
      <c r="D1231" s="20" t="s">
        <v>30</v>
      </c>
      <c r="E1231" s="21" t="s">
        <v>72</v>
      </c>
      <c r="F1231" s="22">
        <v>19.73</v>
      </c>
      <c r="G1231" s="22">
        <f>F1231-'Estatística'!$D$6/'Estatística'!$D$10</f>
        <v>18.72698037</v>
      </c>
      <c r="H1231" s="23">
        <v>45153.0</v>
      </c>
      <c r="I1231" s="24" t="str">
        <f t="shared" si="1"/>
        <v>ago.</v>
      </c>
      <c r="O1231" s="8"/>
    </row>
    <row r="1232" ht="15.75" customHeight="1">
      <c r="A1232" s="9">
        <v>40.0</v>
      </c>
      <c r="B1232" s="9" t="s">
        <v>122</v>
      </c>
      <c r="C1232" s="9" t="s">
        <v>185</v>
      </c>
      <c r="D1232" s="10" t="s">
        <v>11</v>
      </c>
      <c r="E1232" s="11" t="s">
        <v>97</v>
      </c>
      <c r="F1232" s="12">
        <v>3.61</v>
      </c>
      <c r="G1232" s="12">
        <f>F1232-'Estatística'!$D$6/'Estatística'!$D$10</f>
        <v>2.606980371</v>
      </c>
      <c r="H1232" s="13">
        <v>45153.0</v>
      </c>
      <c r="I1232" s="14" t="str">
        <f t="shared" si="1"/>
        <v>ago.</v>
      </c>
      <c r="O1232" s="8"/>
    </row>
    <row r="1233" ht="15.75" customHeight="1">
      <c r="A1233" s="19">
        <v>27.0</v>
      </c>
      <c r="B1233" s="19" t="s">
        <v>173</v>
      </c>
      <c r="C1233" s="19" t="s">
        <v>174</v>
      </c>
      <c r="D1233" s="20" t="s">
        <v>11</v>
      </c>
      <c r="E1233" s="21" t="s">
        <v>82</v>
      </c>
      <c r="F1233" s="22">
        <v>12.07</v>
      </c>
      <c r="G1233" s="22">
        <f>F1233-'Estatística'!$D$6/'Estatística'!$D$10</f>
        <v>11.06698037</v>
      </c>
      <c r="H1233" s="23">
        <v>45154.0</v>
      </c>
      <c r="I1233" s="24" t="str">
        <f t="shared" si="1"/>
        <v>ago.</v>
      </c>
      <c r="O1233" s="8"/>
    </row>
    <row r="1234" ht="15.75" customHeight="1">
      <c r="A1234" s="9">
        <v>28.0</v>
      </c>
      <c r="B1234" s="9" t="s">
        <v>77</v>
      </c>
      <c r="C1234" s="9" t="s">
        <v>78</v>
      </c>
      <c r="D1234" s="10" t="s">
        <v>30</v>
      </c>
      <c r="E1234" s="11" t="s">
        <v>82</v>
      </c>
      <c r="F1234" s="12">
        <v>12.29</v>
      </c>
      <c r="G1234" s="12">
        <f>F1234-'Estatística'!$D$6/'Estatística'!$D$10</f>
        <v>11.28698037</v>
      </c>
      <c r="H1234" s="13">
        <v>45154.0</v>
      </c>
      <c r="I1234" s="14" t="str">
        <f t="shared" si="1"/>
        <v>ago.</v>
      </c>
      <c r="O1234" s="8"/>
    </row>
    <row r="1235" ht="15.75" customHeight="1">
      <c r="A1235" s="19">
        <v>82.0</v>
      </c>
      <c r="B1235" s="19" t="s">
        <v>231</v>
      </c>
      <c r="C1235" s="19" t="s">
        <v>232</v>
      </c>
      <c r="D1235" s="20" t="s">
        <v>11</v>
      </c>
      <c r="E1235" s="21" t="s">
        <v>56</v>
      </c>
      <c r="F1235" s="22">
        <v>59.5</v>
      </c>
      <c r="G1235" s="22">
        <f>F1235-'Estatística'!$D$6/'Estatística'!$D$10</f>
        <v>58.49698037</v>
      </c>
      <c r="H1235" s="23">
        <v>45154.0</v>
      </c>
      <c r="I1235" s="24" t="str">
        <f t="shared" si="1"/>
        <v>ago.</v>
      </c>
      <c r="O1235" s="8"/>
    </row>
    <row r="1236" ht="15.75" customHeight="1">
      <c r="A1236" s="9">
        <v>64.0</v>
      </c>
      <c r="B1236" s="9" t="s">
        <v>159</v>
      </c>
      <c r="C1236" s="9" t="s">
        <v>160</v>
      </c>
      <c r="D1236" s="10" t="s">
        <v>11</v>
      </c>
      <c r="E1236" s="11" t="s">
        <v>97</v>
      </c>
      <c r="F1236" s="12">
        <v>2.17</v>
      </c>
      <c r="G1236" s="12">
        <f>F1236-'Estatística'!$D$6/'Estatística'!$D$10</f>
        <v>1.166980371</v>
      </c>
      <c r="H1236" s="13">
        <v>45154.0</v>
      </c>
      <c r="I1236" s="14" t="str">
        <f t="shared" si="1"/>
        <v>ago.</v>
      </c>
      <c r="O1236" s="8"/>
    </row>
    <row r="1237" ht="15.75" customHeight="1">
      <c r="A1237" s="19">
        <v>1.0</v>
      </c>
      <c r="B1237" s="19" t="s">
        <v>194</v>
      </c>
      <c r="C1237" s="19" t="s">
        <v>195</v>
      </c>
      <c r="D1237" s="20" t="s">
        <v>11</v>
      </c>
      <c r="E1237" s="21" t="s">
        <v>85</v>
      </c>
      <c r="F1237" s="22">
        <v>13.48</v>
      </c>
      <c r="G1237" s="22">
        <f>F1237-'Estatística'!$D$6/'Estatística'!$D$10</f>
        <v>12.47698037</v>
      </c>
      <c r="H1237" s="23">
        <v>45154.0</v>
      </c>
      <c r="I1237" s="24" t="str">
        <f t="shared" si="1"/>
        <v>ago.</v>
      </c>
      <c r="O1237" s="8"/>
    </row>
    <row r="1238" ht="15.75" customHeight="1">
      <c r="A1238" s="9">
        <v>39.0</v>
      </c>
      <c r="B1238" s="9" t="s">
        <v>89</v>
      </c>
      <c r="C1238" s="9" t="s">
        <v>90</v>
      </c>
      <c r="D1238" s="10" t="s">
        <v>30</v>
      </c>
      <c r="E1238" s="11" t="s">
        <v>94</v>
      </c>
      <c r="F1238" s="12">
        <v>29.42</v>
      </c>
      <c r="G1238" s="12">
        <f>F1238-'Estatística'!$D$6/'Estatística'!$D$10</f>
        <v>28.41698037</v>
      </c>
      <c r="H1238" s="13">
        <v>45154.0</v>
      </c>
      <c r="I1238" s="14" t="str">
        <f t="shared" si="1"/>
        <v>ago.</v>
      </c>
      <c r="O1238" s="8"/>
    </row>
    <row r="1239" ht="15.75" customHeight="1">
      <c r="A1239" s="19">
        <v>37.0</v>
      </c>
      <c r="B1239" s="19" t="s">
        <v>245</v>
      </c>
      <c r="C1239" s="19" t="s">
        <v>246</v>
      </c>
      <c r="D1239" s="20" t="s">
        <v>11</v>
      </c>
      <c r="E1239" s="21" t="s">
        <v>31</v>
      </c>
      <c r="F1239" s="22">
        <v>50.67</v>
      </c>
      <c r="G1239" s="22">
        <f>F1239-'Estatística'!$D$6/'Estatística'!$D$10</f>
        <v>49.66698037</v>
      </c>
      <c r="H1239" s="23">
        <v>45154.0</v>
      </c>
      <c r="I1239" s="24" t="str">
        <f t="shared" si="1"/>
        <v>ago.</v>
      </c>
      <c r="O1239" s="8"/>
    </row>
    <row r="1240" ht="15.75" customHeight="1">
      <c r="A1240" s="9">
        <v>13.0</v>
      </c>
      <c r="B1240" s="9" t="s">
        <v>137</v>
      </c>
      <c r="C1240" s="9" t="s">
        <v>138</v>
      </c>
      <c r="D1240" s="10" t="s">
        <v>30</v>
      </c>
      <c r="E1240" s="11" t="s">
        <v>35</v>
      </c>
      <c r="F1240" s="12">
        <v>21.84</v>
      </c>
      <c r="G1240" s="12">
        <f>F1240-'Estatística'!$D$6/'Estatística'!$D$10</f>
        <v>20.83698037</v>
      </c>
      <c r="H1240" s="13">
        <v>45155.0</v>
      </c>
      <c r="I1240" s="14" t="str">
        <f t="shared" si="1"/>
        <v>ago.</v>
      </c>
      <c r="O1240" s="8"/>
    </row>
    <row r="1241" ht="15.75" customHeight="1">
      <c r="A1241" s="19">
        <v>90.0</v>
      </c>
      <c r="B1241" s="19" t="s">
        <v>219</v>
      </c>
      <c r="C1241" s="19" t="s">
        <v>220</v>
      </c>
      <c r="D1241" s="20" t="s">
        <v>30</v>
      </c>
      <c r="E1241" s="21" t="s">
        <v>79</v>
      </c>
      <c r="F1241" s="22">
        <v>29.51</v>
      </c>
      <c r="G1241" s="22">
        <f>F1241-'Estatística'!$D$6/'Estatística'!$D$10</f>
        <v>28.50698037</v>
      </c>
      <c r="H1241" s="23">
        <v>45155.0</v>
      </c>
      <c r="I1241" s="24" t="str">
        <f t="shared" si="1"/>
        <v>ago.</v>
      </c>
      <c r="O1241" s="8"/>
    </row>
    <row r="1242" ht="15.75" customHeight="1">
      <c r="A1242" s="9">
        <v>60.0</v>
      </c>
      <c r="B1242" s="9" t="s">
        <v>65</v>
      </c>
      <c r="C1242" s="9" t="s">
        <v>66</v>
      </c>
      <c r="D1242" s="10" t="s">
        <v>30</v>
      </c>
      <c r="E1242" s="11" t="s">
        <v>91</v>
      </c>
      <c r="F1242" s="12">
        <v>3.98</v>
      </c>
      <c r="G1242" s="12">
        <f>F1242-'Estatística'!$D$6/'Estatística'!$D$10</f>
        <v>2.976980371</v>
      </c>
      <c r="H1242" s="13">
        <v>45155.0</v>
      </c>
      <c r="I1242" s="14" t="str">
        <f t="shared" si="1"/>
        <v>ago.</v>
      </c>
      <c r="O1242" s="8"/>
    </row>
    <row r="1243" ht="15.75" customHeight="1">
      <c r="A1243" s="19">
        <v>58.0</v>
      </c>
      <c r="B1243" s="19" t="s">
        <v>165</v>
      </c>
      <c r="C1243" s="19" t="s">
        <v>166</v>
      </c>
      <c r="D1243" s="20" t="s">
        <v>30</v>
      </c>
      <c r="E1243" s="21" t="s">
        <v>56</v>
      </c>
      <c r="F1243" s="22">
        <v>59.82</v>
      </c>
      <c r="G1243" s="22">
        <f>F1243-'Estatística'!$D$6/'Estatística'!$D$10</f>
        <v>58.81698037</v>
      </c>
      <c r="H1243" s="23">
        <v>45155.0</v>
      </c>
      <c r="I1243" s="24" t="str">
        <f t="shared" si="1"/>
        <v>ago.</v>
      </c>
      <c r="O1243" s="8"/>
    </row>
    <row r="1244" ht="15.75" customHeight="1">
      <c r="A1244" s="9">
        <v>53.0</v>
      </c>
      <c r="B1244" s="9" t="s">
        <v>241</v>
      </c>
      <c r="C1244" s="9" t="s">
        <v>242</v>
      </c>
      <c r="D1244" s="10" t="s">
        <v>11</v>
      </c>
      <c r="E1244" s="11" t="s">
        <v>97</v>
      </c>
      <c r="F1244" s="12">
        <v>4.06</v>
      </c>
      <c r="G1244" s="12">
        <f>F1244-'Estatística'!$D$6/'Estatística'!$D$10</f>
        <v>3.056980371</v>
      </c>
      <c r="H1244" s="13">
        <v>45155.0</v>
      </c>
      <c r="I1244" s="14" t="str">
        <f t="shared" si="1"/>
        <v>ago.</v>
      </c>
      <c r="O1244" s="8"/>
    </row>
    <row r="1245" ht="15.75" customHeight="1">
      <c r="A1245" s="19">
        <v>40.0</v>
      </c>
      <c r="B1245" s="19" t="s">
        <v>122</v>
      </c>
      <c r="C1245" s="19" t="s">
        <v>185</v>
      </c>
      <c r="D1245" s="20" t="s">
        <v>11</v>
      </c>
      <c r="E1245" s="21" t="s">
        <v>72</v>
      </c>
      <c r="F1245" s="22">
        <v>21.75</v>
      </c>
      <c r="G1245" s="22">
        <f>F1245-'Estatística'!$D$6/'Estatística'!$D$10</f>
        <v>20.74698037</v>
      </c>
      <c r="H1245" s="23">
        <v>45155.0</v>
      </c>
      <c r="I1245" s="24" t="str">
        <f t="shared" si="1"/>
        <v>ago.</v>
      </c>
      <c r="O1245" s="8"/>
    </row>
    <row r="1246" ht="15.75" customHeight="1">
      <c r="A1246" s="9">
        <v>70.0</v>
      </c>
      <c r="B1246" s="9" t="s">
        <v>152</v>
      </c>
      <c r="C1246" s="9" t="s">
        <v>153</v>
      </c>
      <c r="D1246" s="10" t="s">
        <v>11</v>
      </c>
      <c r="E1246" s="11" t="s">
        <v>72</v>
      </c>
      <c r="F1246" s="12">
        <v>19.84</v>
      </c>
      <c r="G1246" s="12">
        <f>F1246-'Estatística'!$D$6/'Estatística'!$D$10</f>
        <v>18.83698037</v>
      </c>
      <c r="H1246" s="13">
        <v>45155.0</v>
      </c>
      <c r="I1246" s="14" t="str">
        <f t="shared" si="1"/>
        <v>ago.</v>
      </c>
      <c r="O1246" s="8"/>
    </row>
    <row r="1247" ht="15.75" customHeight="1">
      <c r="A1247" s="19">
        <v>19.0</v>
      </c>
      <c r="B1247" s="19" t="s">
        <v>41</v>
      </c>
      <c r="C1247" s="19" t="s">
        <v>193</v>
      </c>
      <c r="D1247" s="20" t="s">
        <v>30</v>
      </c>
      <c r="E1247" s="21" t="s">
        <v>68</v>
      </c>
      <c r="F1247" s="22">
        <v>19.53</v>
      </c>
      <c r="G1247" s="22">
        <f>F1247-'Estatística'!$D$6/'Estatística'!$D$10</f>
        <v>18.52698037</v>
      </c>
      <c r="H1247" s="23">
        <v>45155.0</v>
      </c>
      <c r="I1247" s="24" t="str">
        <f t="shared" si="1"/>
        <v>ago.</v>
      </c>
      <c r="O1247" s="8"/>
    </row>
    <row r="1248" ht="15.75" customHeight="1">
      <c r="A1248" s="9">
        <v>10.0</v>
      </c>
      <c r="B1248" s="9" t="s">
        <v>148</v>
      </c>
      <c r="C1248" s="9" t="s">
        <v>149</v>
      </c>
      <c r="D1248" s="10" t="s">
        <v>30</v>
      </c>
      <c r="E1248" s="11" t="s">
        <v>85</v>
      </c>
      <c r="F1248" s="12">
        <v>14.44</v>
      </c>
      <c r="G1248" s="12">
        <f>F1248-'Estatística'!$D$6/'Estatística'!$D$10</f>
        <v>13.43698037</v>
      </c>
      <c r="H1248" s="13">
        <v>45156.0</v>
      </c>
      <c r="I1248" s="14" t="str">
        <f t="shared" si="1"/>
        <v>ago.</v>
      </c>
      <c r="O1248" s="8"/>
    </row>
    <row r="1249" ht="15.75" customHeight="1">
      <c r="A1249" s="19">
        <v>86.0</v>
      </c>
      <c r="B1249" s="19" t="s">
        <v>62</v>
      </c>
      <c r="C1249" s="19" t="s">
        <v>63</v>
      </c>
      <c r="D1249" s="20" t="s">
        <v>30</v>
      </c>
      <c r="E1249" s="21" t="s">
        <v>43</v>
      </c>
      <c r="F1249" s="22">
        <v>18.67</v>
      </c>
      <c r="G1249" s="22">
        <f>F1249-'Estatística'!$D$6/'Estatística'!$D$10</f>
        <v>17.66698037</v>
      </c>
      <c r="H1249" s="23">
        <v>45156.0</v>
      </c>
      <c r="I1249" s="24" t="str">
        <f t="shared" si="1"/>
        <v>ago.</v>
      </c>
      <c r="O1249" s="8"/>
    </row>
    <row r="1250" ht="15.75" customHeight="1">
      <c r="A1250" s="9">
        <v>85.0</v>
      </c>
      <c r="B1250" s="9" t="s">
        <v>198</v>
      </c>
      <c r="C1250" s="9" t="s">
        <v>199</v>
      </c>
      <c r="D1250" s="10" t="s">
        <v>30</v>
      </c>
      <c r="E1250" s="11" t="s">
        <v>79</v>
      </c>
      <c r="F1250" s="12">
        <v>32.99</v>
      </c>
      <c r="G1250" s="12">
        <f>F1250-'Estatística'!$D$6/'Estatística'!$D$10</f>
        <v>31.98698037</v>
      </c>
      <c r="H1250" s="13">
        <v>45156.0</v>
      </c>
      <c r="I1250" s="14" t="str">
        <f t="shared" si="1"/>
        <v>ago.</v>
      </c>
      <c r="O1250" s="8"/>
    </row>
    <row r="1251" ht="15.75" customHeight="1">
      <c r="A1251" s="19">
        <v>15.0</v>
      </c>
      <c r="B1251" s="19" t="s">
        <v>58</v>
      </c>
      <c r="C1251" s="19" t="s">
        <v>59</v>
      </c>
      <c r="D1251" s="20" t="s">
        <v>30</v>
      </c>
      <c r="E1251" s="21" t="s">
        <v>97</v>
      </c>
      <c r="F1251" s="22">
        <v>3.22</v>
      </c>
      <c r="G1251" s="22">
        <f>F1251-'Estatística'!$D$6/'Estatística'!$D$10</f>
        <v>2.216980371</v>
      </c>
      <c r="H1251" s="23">
        <v>45156.0</v>
      </c>
      <c r="I1251" s="24" t="str">
        <f t="shared" si="1"/>
        <v>ago.</v>
      </c>
      <c r="O1251" s="8"/>
    </row>
    <row r="1252" ht="15.75" customHeight="1">
      <c r="A1252" s="9">
        <v>23.0</v>
      </c>
      <c r="B1252" s="9" t="s">
        <v>235</v>
      </c>
      <c r="C1252" s="9" t="s">
        <v>236</v>
      </c>
      <c r="D1252" s="10" t="s">
        <v>30</v>
      </c>
      <c r="E1252" s="11" t="s">
        <v>88</v>
      </c>
      <c r="F1252" s="12">
        <v>39.86</v>
      </c>
      <c r="G1252" s="12">
        <f>F1252-'Estatística'!$D$6/'Estatística'!$D$10</f>
        <v>38.85698037</v>
      </c>
      <c r="H1252" s="13">
        <v>45156.0</v>
      </c>
      <c r="I1252" s="14" t="str">
        <f t="shared" si="1"/>
        <v>ago.</v>
      </c>
      <c r="O1252" s="8"/>
    </row>
    <row r="1253" ht="15.75" customHeight="1">
      <c r="A1253" s="19">
        <v>23.0</v>
      </c>
      <c r="B1253" s="19" t="s">
        <v>235</v>
      </c>
      <c r="C1253" s="19" t="s">
        <v>236</v>
      </c>
      <c r="D1253" s="20" t="s">
        <v>30</v>
      </c>
      <c r="E1253" s="21" t="s">
        <v>60</v>
      </c>
      <c r="F1253" s="22">
        <v>48.24</v>
      </c>
      <c r="G1253" s="22">
        <f>F1253-'Estatística'!$D$6/'Estatística'!$D$10</f>
        <v>47.23698037</v>
      </c>
      <c r="H1253" s="23">
        <v>45157.0</v>
      </c>
      <c r="I1253" s="24" t="str">
        <f t="shared" si="1"/>
        <v>ago.</v>
      </c>
      <c r="O1253" s="8"/>
    </row>
    <row r="1254" ht="15.75" customHeight="1">
      <c r="A1254" s="9">
        <v>19.0</v>
      </c>
      <c r="B1254" s="9" t="s">
        <v>41</v>
      </c>
      <c r="C1254" s="9" t="s">
        <v>193</v>
      </c>
      <c r="D1254" s="10" t="s">
        <v>30</v>
      </c>
      <c r="E1254" s="11" t="s">
        <v>43</v>
      </c>
      <c r="F1254" s="12">
        <v>14.79</v>
      </c>
      <c r="G1254" s="12">
        <f>F1254-'Estatística'!$D$6/'Estatística'!$D$10</f>
        <v>13.78698037</v>
      </c>
      <c r="H1254" s="13">
        <v>45157.0</v>
      </c>
      <c r="I1254" s="14" t="str">
        <f t="shared" si="1"/>
        <v>ago.</v>
      </c>
      <c r="O1254" s="8"/>
    </row>
    <row r="1255" ht="15.75" customHeight="1">
      <c r="A1255" s="19">
        <v>14.0</v>
      </c>
      <c r="B1255" s="19" t="s">
        <v>171</v>
      </c>
      <c r="C1255" s="19" t="s">
        <v>172</v>
      </c>
      <c r="D1255" s="20" t="s">
        <v>11</v>
      </c>
      <c r="E1255" s="21" t="s">
        <v>94</v>
      </c>
      <c r="F1255" s="22">
        <v>25.52</v>
      </c>
      <c r="G1255" s="22">
        <f>F1255-'Estatística'!$D$6/'Estatística'!$D$10</f>
        <v>24.51698037</v>
      </c>
      <c r="H1255" s="23">
        <v>45157.0</v>
      </c>
      <c r="I1255" s="24" t="str">
        <f t="shared" si="1"/>
        <v>ago.</v>
      </c>
      <c r="O1255" s="8"/>
    </row>
    <row r="1256" ht="15.75" customHeight="1">
      <c r="A1256" s="9">
        <v>71.0</v>
      </c>
      <c r="B1256" s="9" t="s">
        <v>150</v>
      </c>
      <c r="C1256" s="9" t="s">
        <v>151</v>
      </c>
      <c r="D1256" s="10" t="s">
        <v>30</v>
      </c>
      <c r="E1256" s="11" t="s">
        <v>94</v>
      </c>
      <c r="F1256" s="12">
        <v>27.37</v>
      </c>
      <c r="G1256" s="12">
        <f>F1256-'Estatística'!$D$6/'Estatística'!$D$10</f>
        <v>26.36698037</v>
      </c>
      <c r="H1256" s="13">
        <v>45157.0</v>
      </c>
      <c r="I1256" s="14" t="str">
        <f t="shared" si="1"/>
        <v>ago.</v>
      </c>
      <c r="O1256" s="8"/>
    </row>
    <row r="1257" ht="15.75" customHeight="1">
      <c r="A1257" s="19">
        <v>4.0</v>
      </c>
      <c r="B1257" s="19" t="s">
        <v>118</v>
      </c>
      <c r="C1257" s="19" t="s">
        <v>119</v>
      </c>
      <c r="D1257" s="20" t="s">
        <v>30</v>
      </c>
      <c r="E1257" s="21" t="s">
        <v>46</v>
      </c>
      <c r="F1257" s="22">
        <v>13.84</v>
      </c>
      <c r="G1257" s="22">
        <f>F1257-'Estatística'!$D$6/'Estatística'!$D$10</f>
        <v>12.83698037</v>
      </c>
      <c r="H1257" s="23">
        <v>45157.0</v>
      </c>
      <c r="I1257" s="24" t="str">
        <f t="shared" si="1"/>
        <v>ago.</v>
      </c>
      <c r="O1257" s="8"/>
    </row>
    <row r="1258" ht="15.75" customHeight="1">
      <c r="A1258" s="9">
        <v>6.0</v>
      </c>
      <c r="B1258" s="9" t="s">
        <v>183</v>
      </c>
      <c r="C1258" s="9" t="s">
        <v>184</v>
      </c>
      <c r="D1258" s="10" t="s">
        <v>11</v>
      </c>
      <c r="E1258" s="11" t="s">
        <v>50</v>
      </c>
      <c r="F1258" s="12">
        <v>26.77</v>
      </c>
      <c r="G1258" s="12">
        <f>F1258-'Estatística'!$D$6/'Estatística'!$D$10</f>
        <v>25.76698037</v>
      </c>
      <c r="H1258" s="13">
        <v>45157.0</v>
      </c>
      <c r="I1258" s="14" t="str">
        <f t="shared" si="1"/>
        <v>ago.</v>
      </c>
      <c r="O1258" s="8"/>
    </row>
    <row r="1259" ht="15.75" customHeight="1">
      <c r="A1259" s="19">
        <v>24.0</v>
      </c>
      <c r="B1259" s="19" t="s">
        <v>139</v>
      </c>
      <c r="C1259" s="19" t="s">
        <v>140</v>
      </c>
      <c r="D1259" s="20" t="s">
        <v>30</v>
      </c>
      <c r="E1259" s="21" t="s">
        <v>68</v>
      </c>
      <c r="F1259" s="22">
        <v>11.11</v>
      </c>
      <c r="G1259" s="22">
        <f>F1259-'Estatística'!$D$6/'Estatística'!$D$10</f>
        <v>10.10698037</v>
      </c>
      <c r="H1259" s="23">
        <v>45157.0</v>
      </c>
      <c r="I1259" s="24" t="str">
        <f t="shared" si="1"/>
        <v>ago.</v>
      </c>
      <c r="O1259" s="8"/>
    </row>
    <row r="1260" ht="15.75" customHeight="1">
      <c r="A1260" s="9">
        <v>63.0</v>
      </c>
      <c r="B1260" s="9" t="s">
        <v>225</v>
      </c>
      <c r="C1260" s="9" t="s">
        <v>226</v>
      </c>
      <c r="D1260" s="10" t="s">
        <v>11</v>
      </c>
      <c r="E1260" s="11" t="s">
        <v>46</v>
      </c>
      <c r="F1260" s="12">
        <v>12.9</v>
      </c>
      <c r="G1260" s="12">
        <f>F1260-'Estatística'!$D$6/'Estatística'!$D$10</f>
        <v>11.89698037</v>
      </c>
      <c r="H1260" s="13">
        <v>45157.0</v>
      </c>
      <c r="I1260" s="14" t="str">
        <f t="shared" si="1"/>
        <v>ago.</v>
      </c>
      <c r="O1260" s="8"/>
    </row>
    <row r="1261" ht="15.75" customHeight="1">
      <c r="A1261" s="19">
        <v>3.0</v>
      </c>
      <c r="B1261" s="19" t="s">
        <v>80</v>
      </c>
      <c r="C1261" s="19" t="s">
        <v>81</v>
      </c>
      <c r="D1261" s="20" t="s">
        <v>30</v>
      </c>
      <c r="E1261" s="21" t="s">
        <v>50</v>
      </c>
      <c r="F1261" s="22">
        <v>28.31</v>
      </c>
      <c r="G1261" s="22">
        <f>F1261-'Estatística'!$D$6/'Estatística'!$D$10</f>
        <v>27.30698037</v>
      </c>
      <c r="H1261" s="23">
        <v>45158.0</v>
      </c>
      <c r="I1261" s="24" t="str">
        <f t="shared" si="1"/>
        <v>ago.</v>
      </c>
      <c r="O1261" s="8"/>
    </row>
    <row r="1262" ht="15.75" customHeight="1">
      <c r="A1262" s="9">
        <v>25.0</v>
      </c>
      <c r="B1262" s="9" t="s">
        <v>154</v>
      </c>
      <c r="C1262" s="9" t="s">
        <v>155</v>
      </c>
      <c r="D1262" s="10" t="s">
        <v>11</v>
      </c>
      <c r="E1262" s="11" t="s">
        <v>50</v>
      </c>
      <c r="F1262" s="12">
        <v>27.82</v>
      </c>
      <c r="G1262" s="12">
        <f>F1262-'Estatística'!$D$6/'Estatística'!$D$10</f>
        <v>26.81698037</v>
      </c>
      <c r="H1262" s="13">
        <v>45158.0</v>
      </c>
      <c r="I1262" s="14" t="str">
        <f t="shared" si="1"/>
        <v>ago.</v>
      </c>
      <c r="O1262" s="8"/>
    </row>
    <row r="1263" ht="15.75" customHeight="1">
      <c r="A1263" s="19">
        <v>13.0</v>
      </c>
      <c r="B1263" s="19" t="s">
        <v>137</v>
      </c>
      <c r="C1263" s="19" t="s">
        <v>138</v>
      </c>
      <c r="D1263" s="20" t="s">
        <v>11</v>
      </c>
      <c r="E1263" s="21" t="s">
        <v>60</v>
      </c>
      <c r="F1263" s="22">
        <v>34.55</v>
      </c>
      <c r="G1263" s="22">
        <f>F1263-'Estatística'!$D$6/'Estatística'!$D$10</f>
        <v>33.54698037</v>
      </c>
      <c r="H1263" s="23">
        <v>45158.0</v>
      </c>
      <c r="I1263" s="24" t="str">
        <f t="shared" si="1"/>
        <v>ago.</v>
      </c>
      <c r="O1263" s="8"/>
    </row>
    <row r="1264" ht="15.75" customHeight="1">
      <c r="A1264" s="9">
        <v>49.0</v>
      </c>
      <c r="B1264" s="9" t="s">
        <v>179</v>
      </c>
      <c r="C1264" s="9" t="s">
        <v>180</v>
      </c>
      <c r="D1264" s="10" t="s">
        <v>30</v>
      </c>
      <c r="E1264" s="11" t="s">
        <v>50</v>
      </c>
      <c r="F1264" s="12">
        <v>32.64</v>
      </c>
      <c r="G1264" s="12">
        <f>F1264-'Estatística'!$D$6/'Estatística'!$D$10</f>
        <v>31.63698037</v>
      </c>
      <c r="H1264" s="13">
        <v>45158.0</v>
      </c>
      <c r="I1264" s="14" t="str">
        <f t="shared" si="1"/>
        <v>ago.</v>
      </c>
      <c r="O1264" s="8"/>
    </row>
    <row r="1265" ht="15.75" customHeight="1">
      <c r="A1265" s="19">
        <v>52.0</v>
      </c>
      <c r="B1265" s="19" t="s">
        <v>181</v>
      </c>
      <c r="C1265" s="19" t="s">
        <v>182</v>
      </c>
      <c r="D1265" s="20" t="s">
        <v>30</v>
      </c>
      <c r="E1265" s="21" t="s">
        <v>94</v>
      </c>
      <c r="F1265" s="22">
        <v>32.28</v>
      </c>
      <c r="G1265" s="22">
        <f>F1265-'Estatística'!$D$6/'Estatística'!$D$10</f>
        <v>31.27698037</v>
      </c>
      <c r="H1265" s="23">
        <v>45158.0</v>
      </c>
      <c r="I1265" s="24" t="str">
        <f t="shared" si="1"/>
        <v>ago.</v>
      </c>
      <c r="O1265" s="8"/>
    </row>
    <row r="1266" ht="15.75" customHeight="1">
      <c r="A1266" s="9">
        <v>90.0</v>
      </c>
      <c r="B1266" s="9" t="s">
        <v>219</v>
      </c>
      <c r="C1266" s="9" t="s">
        <v>220</v>
      </c>
      <c r="D1266" s="10" t="s">
        <v>30</v>
      </c>
      <c r="E1266" s="11" t="s">
        <v>88</v>
      </c>
      <c r="F1266" s="12">
        <v>41.32</v>
      </c>
      <c r="G1266" s="12">
        <f>F1266-'Estatística'!$D$6/'Estatística'!$D$10</f>
        <v>40.31698037</v>
      </c>
      <c r="H1266" s="13">
        <v>45159.0</v>
      </c>
      <c r="I1266" s="14" t="str">
        <f t="shared" si="1"/>
        <v>ago.</v>
      </c>
      <c r="O1266" s="8"/>
    </row>
    <row r="1267" ht="15.75" customHeight="1">
      <c r="A1267" s="19">
        <v>52.0</v>
      </c>
      <c r="B1267" s="19" t="s">
        <v>181</v>
      </c>
      <c r="C1267" s="19" t="s">
        <v>182</v>
      </c>
      <c r="D1267" s="20" t="s">
        <v>30</v>
      </c>
      <c r="E1267" s="21" t="s">
        <v>56</v>
      </c>
      <c r="F1267" s="22">
        <v>74.68</v>
      </c>
      <c r="G1267" s="22">
        <f>F1267-'Estatística'!$D$6/'Estatística'!$D$10</f>
        <v>73.67698037</v>
      </c>
      <c r="H1267" s="23">
        <v>45159.0</v>
      </c>
      <c r="I1267" s="24" t="str">
        <f t="shared" si="1"/>
        <v>ago.</v>
      </c>
      <c r="O1267" s="8"/>
    </row>
    <row r="1268" ht="15.75" customHeight="1">
      <c r="A1268" s="9">
        <v>23.0</v>
      </c>
      <c r="B1268" s="9" t="s">
        <v>235</v>
      </c>
      <c r="C1268" s="9" t="s">
        <v>236</v>
      </c>
      <c r="D1268" s="10" t="s">
        <v>30</v>
      </c>
      <c r="E1268" s="11" t="s">
        <v>12</v>
      </c>
      <c r="F1268" s="12">
        <v>10.46</v>
      </c>
      <c r="G1268" s="12">
        <f>F1268-'Estatística'!$D$6/'Estatística'!$D$10</f>
        <v>9.456980371</v>
      </c>
      <c r="H1268" s="13">
        <v>45159.0</v>
      </c>
      <c r="I1268" s="14" t="str">
        <f t="shared" si="1"/>
        <v>ago.</v>
      </c>
      <c r="O1268" s="8"/>
    </row>
    <row r="1269" ht="15.75" customHeight="1">
      <c r="A1269" s="19">
        <v>85.0</v>
      </c>
      <c r="B1269" s="19" t="s">
        <v>198</v>
      </c>
      <c r="C1269" s="19" t="s">
        <v>199</v>
      </c>
      <c r="D1269" s="20" t="s">
        <v>11</v>
      </c>
      <c r="E1269" s="21" t="s">
        <v>43</v>
      </c>
      <c r="F1269" s="22">
        <v>13.66</v>
      </c>
      <c r="G1269" s="22">
        <f>F1269-'Estatística'!$D$6/'Estatística'!$D$10</f>
        <v>12.65698037</v>
      </c>
      <c r="H1269" s="23">
        <v>45159.0</v>
      </c>
      <c r="I1269" s="24" t="str">
        <f t="shared" si="1"/>
        <v>ago.</v>
      </c>
      <c r="O1269" s="8"/>
    </row>
    <row r="1270" ht="15.75" customHeight="1">
      <c r="A1270" s="9">
        <v>16.0</v>
      </c>
      <c r="B1270" s="9" t="s">
        <v>175</v>
      </c>
      <c r="C1270" s="9" t="s">
        <v>176</v>
      </c>
      <c r="D1270" s="10" t="s">
        <v>30</v>
      </c>
      <c r="E1270" s="11" t="s">
        <v>52</v>
      </c>
      <c r="F1270" s="12">
        <v>62.25</v>
      </c>
      <c r="G1270" s="12">
        <f>F1270-'Estatística'!$D$6/'Estatística'!$D$10</f>
        <v>61.24698037</v>
      </c>
      <c r="H1270" s="13">
        <v>45159.0</v>
      </c>
      <c r="I1270" s="14" t="str">
        <f t="shared" si="1"/>
        <v>ago.</v>
      </c>
      <c r="O1270" s="8"/>
    </row>
    <row r="1271" ht="15.75" customHeight="1">
      <c r="A1271" s="19">
        <v>28.0</v>
      </c>
      <c r="B1271" s="19" t="s">
        <v>77</v>
      </c>
      <c r="C1271" s="19" t="s">
        <v>78</v>
      </c>
      <c r="D1271" s="20" t="s">
        <v>30</v>
      </c>
      <c r="E1271" s="21" t="s">
        <v>97</v>
      </c>
      <c r="F1271" s="22">
        <v>2.61</v>
      </c>
      <c r="G1271" s="22">
        <f>F1271-'Estatística'!$D$6/'Estatística'!$D$10</f>
        <v>1.606980371</v>
      </c>
      <c r="H1271" s="23">
        <v>45159.0</v>
      </c>
      <c r="I1271" s="24" t="str">
        <f t="shared" si="1"/>
        <v>ago.</v>
      </c>
      <c r="O1271" s="8"/>
    </row>
    <row r="1272" ht="15.75" customHeight="1">
      <c r="A1272" s="9">
        <v>2.0</v>
      </c>
      <c r="B1272" s="9" t="s">
        <v>83</v>
      </c>
      <c r="C1272" s="9" t="s">
        <v>84</v>
      </c>
      <c r="D1272" s="10" t="s">
        <v>30</v>
      </c>
      <c r="E1272" s="11" t="s">
        <v>52</v>
      </c>
      <c r="F1272" s="12">
        <v>47.61</v>
      </c>
      <c r="G1272" s="12">
        <f>F1272-'Estatística'!$D$6/'Estatística'!$D$10</f>
        <v>46.60698037</v>
      </c>
      <c r="H1272" s="13">
        <v>45159.0</v>
      </c>
      <c r="I1272" s="14" t="str">
        <f t="shared" si="1"/>
        <v>ago.</v>
      </c>
      <c r="O1272" s="8"/>
    </row>
    <row r="1273" ht="15.75" customHeight="1">
      <c r="A1273" s="19">
        <v>72.0</v>
      </c>
      <c r="B1273" s="19" t="s">
        <v>133</v>
      </c>
      <c r="C1273" s="19" t="s">
        <v>134</v>
      </c>
      <c r="D1273" s="20" t="s">
        <v>30</v>
      </c>
      <c r="E1273" s="21" t="s">
        <v>60</v>
      </c>
      <c r="F1273" s="22">
        <v>39.66</v>
      </c>
      <c r="G1273" s="22">
        <f>F1273-'Estatística'!$D$6/'Estatística'!$D$10</f>
        <v>38.65698037</v>
      </c>
      <c r="H1273" s="23">
        <v>45160.0</v>
      </c>
      <c r="I1273" s="24" t="str">
        <f t="shared" si="1"/>
        <v>ago.</v>
      </c>
      <c r="O1273" s="8"/>
    </row>
    <row r="1274" ht="15.75" customHeight="1">
      <c r="A1274" s="9">
        <v>31.0</v>
      </c>
      <c r="B1274" s="9" t="s">
        <v>229</v>
      </c>
      <c r="C1274" s="9" t="s">
        <v>230</v>
      </c>
      <c r="D1274" s="10" t="s">
        <v>30</v>
      </c>
      <c r="E1274" s="11" t="s">
        <v>56</v>
      </c>
      <c r="F1274" s="12">
        <v>65.14</v>
      </c>
      <c r="G1274" s="12">
        <f>F1274-'Estatística'!$D$6/'Estatística'!$D$10</f>
        <v>64.13698037</v>
      </c>
      <c r="H1274" s="13">
        <v>45160.0</v>
      </c>
      <c r="I1274" s="14" t="str">
        <f t="shared" si="1"/>
        <v>ago.</v>
      </c>
      <c r="O1274" s="8"/>
    </row>
    <row r="1275" ht="15.75" customHeight="1">
      <c r="A1275" s="19">
        <v>9.0</v>
      </c>
      <c r="B1275" s="19" t="s">
        <v>207</v>
      </c>
      <c r="C1275" s="19" t="s">
        <v>208</v>
      </c>
      <c r="D1275" s="20" t="s">
        <v>11</v>
      </c>
      <c r="E1275" s="21" t="s">
        <v>76</v>
      </c>
      <c r="F1275" s="22">
        <v>11.29</v>
      </c>
      <c r="G1275" s="22">
        <f>F1275-'Estatística'!$D$6/'Estatística'!$D$10</f>
        <v>10.28698037</v>
      </c>
      <c r="H1275" s="23">
        <v>45160.0</v>
      </c>
      <c r="I1275" s="24" t="str">
        <f t="shared" si="1"/>
        <v>ago.</v>
      </c>
      <c r="O1275" s="8"/>
    </row>
    <row r="1276" ht="15.75" customHeight="1">
      <c r="A1276" s="9">
        <v>15.0</v>
      </c>
      <c r="B1276" s="9" t="s">
        <v>58</v>
      </c>
      <c r="C1276" s="9" t="s">
        <v>59</v>
      </c>
      <c r="D1276" s="10" t="s">
        <v>11</v>
      </c>
      <c r="E1276" s="11" t="s">
        <v>12</v>
      </c>
      <c r="F1276" s="12">
        <v>10.43</v>
      </c>
      <c r="G1276" s="12">
        <f>F1276-'Estatística'!$D$6/'Estatística'!$D$10</f>
        <v>9.426980371</v>
      </c>
      <c r="H1276" s="13">
        <v>45160.0</v>
      </c>
      <c r="I1276" s="14" t="str">
        <f t="shared" si="1"/>
        <v>ago.</v>
      </c>
      <c r="O1276" s="8"/>
    </row>
    <row r="1277" ht="15.75" customHeight="1">
      <c r="A1277" s="19">
        <v>62.0</v>
      </c>
      <c r="B1277" s="19" t="s">
        <v>156</v>
      </c>
      <c r="C1277" s="19" t="s">
        <v>157</v>
      </c>
      <c r="D1277" s="20" t="s">
        <v>11</v>
      </c>
      <c r="E1277" s="21" t="s">
        <v>60</v>
      </c>
      <c r="F1277" s="22">
        <v>35.14</v>
      </c>
      <c r="G1277" s="22">
        <f>F1277-'Estatística'!$D$6/'Estatística'!$D$10</f>
        <v>34.13698037</v>
      </c>
      <c r="H1277" s="23">
        <v>45160.0</v>
      </c>
      <c r="I1277" s="24" t="str">
        <f t="shared" si="1"/>
        <v>ago.</v>
      </c>
      <c r="O1277" s="8"/>
    </row>
    <row r="1278" ht="15.75" customHeight="1">
      <c r="A1278" s="9">
        <v>55.0</v>
      </c>
      <c r="B1278" s="9" t="s">
        <v>202</v>
      </c>
      <c r="C1278" s="9" t="s">
        <v>203</v>
      </c>
      <c r="D1278" s="10" t="s">
        <v>30</v>
      </c>
      <c r="E1278" s="11" t="s">
        <v>35</v>
      </c>
      <c r="F1278" s="12">
        <v>20.23</v>
      </c>
      <c r="G1278" s="12">
        <f>F1278-'Estatística'!$D$6/'Estatística'!$D$10</f>
        <v>19.22698037</v>
      </c>
      <c r="H1278" s="13">
        <v>45160.0</v>
      </c>
      <c r="I1278" s="14" t="str">
        <f t="shared" si="1"/>
        <v>ago.</v>
      </c>
      <c r="O1278" s="8"/>
    </row>
    <row r="1279" ht="15.75" customHeight="1">
      <c r="A1279" s="19">
        <v>59.0</v>
      </c>
      <c r="B1279" s="19" t="s">
        <v>103</v>
      </c>
      <c r="C1279" s="19" t="s">
        <v>104</v>
      </c>
      <c r="D1279" s="20" t="s">
        <v>30</v>
      </c>
      <c r="E1279" s="21" t="s">
        <v>50</v>
      </c>
      <c r="F1279" s="22">
        <v>26.13</v>
      </c>
      <c r="G1279" s="22">
        <f>F1279-'Estatística'!$D$6/'Estatística'!$D$10</f>
        <v>25.12698037</v>
      </c>
      <c r="H1279" s="23">
        <v>45160.0</v>
      </c>
      <c r="I1279" s="24" t="str">
        <f t="shared" si="1"/>
        <v>ago.</v>
      </c>
      <c r="O1279" s="8"/>
    </row>
    <row r="1280" ht="15.75" customHeight="1">
      <c r="A1280" s="9">
        <v>58.0</v>
      </c>
      <c r="B1280" s="9" t="s">
        <v>165</v>
      </c>
      <c r="C1280" s="9" t="s">
        <v>166</v>
      </c>
      <c r="D1280" s="10" t="s">
        <v>30</v>
      </c>
      <c r="E1280" s="11" t="s">
        <v>79</v>
      </c>
      <c r="F1280" s="12">
        <v>28.55</v>
      </c>
      <c r="G1280" s="12">
        <f>F1280-'Estatística'!$D$6/'Estatística'!$D$10</f>
        <v>27.54698037</v>
      </c>
      <c r="H1280" s="13">
        <v>45160.0</v>
      </c>
      <c r="I1280" s="14" t="str">
        <f t="shared" si="1"/>
        <v>ago.</v>
      </c>
      <c r="O1280" s="8"/>
    </row>
    <row r="1281" ht="15.75" customHeight="1">
      <c r="A1281" s="19">
        <v>21.0</v>
      </c>
      <c r="B1281" s="19" t="s">
        <v>186</v>
      </c>
      <c r="C1281" s="19" t="s">
        <v>187</v>
      </c>
      <c r="D1281" s="20" t="s">
        <v>11</v>
      </c>
      <c r="E1281" s="21" t="s">
        <v>79</v>
      </c>
      <c r="F1281" s="22">
        <v>31.6</v>
      </c>
      <c r="G1281" s="22">
        <f>F1281-'Estatística'!$D$6/'Estatística'!$D$10</f>
        <v>30.59698037</v>
      </c>
      <c r="H1281" s="23">
        <v>45160.0</v>
      </c>
      <c r="I1281" s="24" t="str">
        <f t="shared" si="1"/>
        <v>ago.</v>
      </c>
      <c r="O1281" s="8"/>
    </row>
    <row r="1282" ht="15.75" customHeight="1">
      <c r="A1282" s="9">
        <v>24.0</v>
      </c>
      <c r="B1282" s="9" t="s">
        <v>139</v>
      </c>
      <c r="C1282" s="9" t="s">
        <v>140</v>
      </c>
      <c r="D1282" s="10" t="s">
        <v>11</v>
      </c>
      <c r="E1282" s="11" t="s">
        <v>43</v>
      </c>
      <c r="F1282" s="12">
        <v>15.92</v>
      </c>
      <c r="G1282" s="12">
        <f>F1282-'Estatística'!$D$6/'Estatística'!$D$10</f>
        <v>14.91698037</v>
      </c>
      <c r="H1282" s="13">
        <v>45160.0</v>
      </c>
      <c r="I1282" s="14" t="str">
        <f t="shared" si="1"/>
        <v>ago.</v>
      </c>
      <c r="O1282" s="8"/>
    </row>
    <row r="1283" ht="15.75" customHeight="1">
      <c r="A1283" s="19">
        <v>64.0</v>
      </c>
      <c r="B1283" s="19" t="s">
        <v>159</v>
      </c>
      <c r="C1283" s="19" t="s">
        <v>160</v>
      </c>
      <c r="D1283" s="20" t="s">
        <v>11</v>
      </c>
      <c r="E1283" s="21" t="s">
        <v>60</v>
      </c>
      <c r="F1283" s="22">
        <v>51.7</v>
      </c>
      <c r="G1283" s="22">
        <f>F1283-'Estatística'!$D$6/'Estatística'!$D$10</f>
        <v>50.69698037</v>
      </c>
      <c r="H1283" s="23">
        <v>45161.0</v>
      </c>
      <c r="I1283" s="24" t="str">
        <f t="shared" si="1"/>
        <v>ago.</v>
      </c>
      <c r="O1283" s="8"/>
    </row>
    <row r="1284" ht="15.75" customHeight="1">
      <c r="A1284" s="9">
        <v>18.0</v>
      </c>
      <c r="B1284" s="9" t="s">
        <v>163</v>
      </c>
      <c r="C1284" s="9" t="s">
        <v>240</v>
      </c>
      <c r="D1284" s="10" t="s">
        <v>11</v>
      </c>
      <c r="E1284" s="11" t="s">
        <v>68</v>
      </c>
      <c r="F1284" s="12">
        <v>10.0</v>
      </c>
      <c r="G1284" s="12">
        <f>F1284-'Estatística'!$D$6/'Estatística'!$D$10</f>
        <v>8.996980371</v>
      </c>
      <c r="H1284" s="13">
        <v>45161.0</v>
      </c>
      <c r="I1284" s="14" t="str">
        <f t="shared" si="1"/>
        <v>ago.</v>
      </c>
      <c r="O1284" s="8"/>
    </row>
    <row r="1285" ht="15.75" customHeight="1">
      <c r="A1285" s="19">
        <v>75.0</v>
      </c>
      <c r="B1285" s="19" t="s">
        <v>238</v>
      </c>
      <c r="C1285" s="19" t="s">
        <v>239</v>
      </c>
      <c r="D1285" s="20" t="s">
        <v>11</v>
      </c>
      <c r="E1285" s="21" t="s">
        <v>85</v>
      </c>
      <c r="F1285" s="22">
        <v>12.81</v>
      </c>
      <c r="G1285" s="22">
        <f>F1285-'Estatística'!$D$6/'Estatística'!$D$10</f>
        <v>11.80698037</v>
      </c>
      <c r="H1285" s="23">
        <v>45161.0</v>
      </c>
      <c r="I1285" s="24" t="str">
        <f t="shared" si="1"/>
        <v>ago.</v>
      </c>
      <c r="O1285" s="8"/>
    </row>
    <row r="1286" ht="15.75" customHeight="1">
      <c r="A1286" s="9">
        <v>99.0</v>
      </c>
      <c r="B1286" s="9" t="s">
        <v>73</v>
      </c>
      <c r="C1286" s="9" t="s">
        <v>74</v>
      </c>
      <c r="D1286" s="10" t="s">
        <v>11</v>
      </c>
      <c r="E1286" s="11" t="s">
        <v>88</v>
      </c>
      <c r="F1286" s="12">
        <v>35.86</v>
      </c>
      <c r="G1286" s="12">
        <f>F1286-'Estatística'!$D$6/'Estatística'!$D$10</f>
        <v>34.85698037</v>
      </c>
      <c r="H1286" s="13">
        <v>45161.0</v>
      </c>
      <c r="I1286" s="14" t="str">
        <f t="shared" si="1"/>
        <v>ago.</v>
      </c>
      <c r="O1286" s="8"/>
    </row>
    <row r="1287" ht="15.75" customHeight="1">
      <c r="A1287" s="19">
        <v>28.0</v>
      </c>
      <c r="B1287" s="19" t="s">
        <v>77</v>
      </c>
      <c r="C1287" s="19" t="s">
        <v>78</v>
      </c>
      <c r="D1287" s="20" t="s">
        <v>30</v>
      </c>
      <c r="E1287" s="21" t="s">
        <v>46</v>
      </c>
      <c r="F1287" s="22">
        <v>12.61</v>
      </c>
      <c r="G1287" s="22">
        <f>F1287-'Estatística'!$D$6/'Estatística'!$D$10</f>
        <v>11.60698037</v>
      </c>
      <c r="H1287" s="23">
        <v>45161.0</v>
      </c>
      <c r="I1287" s="24" t="str">
        <f t="shared" si="1"/>
        <v>ago.</v>
      </c>
      <c r="O1287" s="8"/>
    </row>
    <row r="1288" ht="15.75" customHeight="1">
      <c r="A1288" s="9">
        <v>21.0</v>
      </c>
      <c r="B1288" s="9" t="s">
        <v>186</v>
      </c>
      <c r="C1288" s="9" t="s">
        <v>187</v>
      </c>
      <c r="D1288" s="10" t="s">
        <v>11</v>
      </c>
      <c r="E1288" s="11" t="s">
        <v>52</v>
      </c>
      <c r="F1288" s="12">
        <v>57.97</v>
      </c>
      <c r="G1288" s="12">
        <f>F1288-'Estatística'!$D$6/'Estatística'!$D$10</f>
        <v>56.96698037</v>
      </c>
      <c r="H1288" s="13">
        <v>45162.0</v>
      </c>
      <c r="I1288" s="14" t="str">
        <f t="shared" si="1"/>
        <v>ago.</v>
      </c>
      <c r="O1288" s="8"/>
    </row>
    <row r="1289" ht="15.75" customHeight="1">
      <c r="A1289" s="19">
        <v>88.0</v>
      </c>
      <c r="B1289" s="19" t="s">
        <v>200</v>
      </c>
      <c r="C1289" s="19" t="s">
        <v>206</v>
      </c>
      <c r="D1289" s="20" t="s">
        <v>30</v>
      </c>
      <c r="E1289" s="21" t="s">
        <v>60</v>
      </c>
      <c r="F1289" s="22">
        <v>51.9</v>
      </c>
      <c r="G1289" s="22">
        <f>F1289-'Estatística'!$D$6/'Estatística'!$D$10</f>
        <v>50.89698037</v>
      </c>
      <c r="H1289" s="23">
        <v>45162.0</v>
      </c>
      <c r="I1289" s="24" t="str">
        <f t="shared" si="1"/>
        <v>ago.</v>
      </c>
      <c r="O1289" s="8"/>
    </row>
    <row r="1290" ht="15.75" customHeight="1">
      <c r="A1290" s="9">
        <v>70.0</v>
      </c>
      <c r="B1290" s="9" t="s">
        <v>152</v>
      </c>
      <c r="C1290" s="9" t="s">
        <v>153</v>
      </c>
      <c r="D1290" s="10" t="s">
        <v>11</v>
      </c>
      <c r="E1290" s="11" t="s">
        <v>52</v>
      </c>
      <c r="F1290" s="12">
        <v>53.87</v>
      </c>
      <c r="G1290" s="12">
        <f>F1290-'Estatística'!$D$6/'Estatística'!$D$10</f>
        <v>52.86698037</v>
      </c>
      <c r="H1290" s="13">
        <v>45162.0</v>
      </c>
      <c r="I1290" s="14" t="str">
        <f t="shared" si="1"/>
        <v>ago.</v>
      </c>
      <c r="O1290" s="8"/>
    </row>
    <row r="1291" ht="15.75" customHeight="1">
      <c r="A1291" s="19">
        <v>39.0</v>
      </c>
      <c r="B1291" s="19" t="s">
        <v>89</v>
      </c>
      <c r="C1291" s="19" t="s">
        <v>90</v>
      </c>
      <c r="D1291" s="20" t="s">
        <v>30</v>
      </c>
      <c r="E1291" s="21" t="s">
        <v>91</v>
      </c>
      <c r="F1291" s="22">
        <v>2.96</v>
      </c>
      <c r="G1291" s="22">
        <f>F1291-'Estatística'!$D$6/'Estatística'!$D$10</f>
        <v>1.956980371</v>
      </c>
      <c r="H1291" s="23">
        <v>45162.0</v>
      </c>
      <c r="I1291" s="24" t="str">
        <f t="shared" si="1"/>
        <v>ago.</v>
      </c>
      <c r="O1291" s="8"/>
    </row>
    <row r="1292" ht="15.75" customHeight="1">
      <c r="A1292" s="9">
        <v>10.0</v>
      </c>
      <c r="B1292" s="9" t="s">
        <v>148</v>
      </c>
      <c r="C1292" s="9" t="s">
        <v>149</v>
      </c>
      <c r="D1292" s="10" t="s">
        <v>30</v>
      </c>
      <c r="E1292" s="11" t="s">
        <v>46</v>
      </c>
      <c r="F1292" s="12">
        <v>14.02</v>
      </c>
      <c r="G1292" s="12">
        <f>F1292-'Estatística'!$D$6/'Estatística'!$D$10</f>
        <v>13.01698037</v>
      </c>
      <c r="H1292" s="13">
        <v>45162.0</v>
      </c>
      <c r="I1292" s="14" t="str">
        <f t="shared" si="1"/>
        <v>ago.</v>
      </c>
      <c r="O1292" s="8"/>
    </row>
    <row r="1293" ht="15.75" customHeight="1">
      <c r="A1293" s="19">
        <v>18.0</v>
      </c>
      <c r="B1293" s="19" t="s">
        <v>163</v>
      </c>
      <c r="C1293" s="19" t="s">
        <v>240</v>
      </c>
      <c r="D1293" s="20" t="s">
        <v>30</v>
      </c>
      <c r="E1293" s="21" t="s">
        <v>82</v>
      </c>
      <c r="F1293" s="22">
        <v>11.26</v>
      </c>
      <c r="G1293" s="22">
        <f>F1293-'Estatística'!$D$6/'Estatística'!$D$10</f>
        <v>10.25698037</v>
      </c>
      <c r="H1293" s="23">
        <v>45162.0</v>
      </c>
      <c r="I1293" s="24" t="str">
        <f t="shared" si="1"/>
        <v>ago.</v>
      </c>
      <c r="O1293" s="8"/>
    </row>
    <row r="1294" ht="15.75" customHeight="1">
      <c r="A1294" s="9">
        <v>95.0</v>
      </c>
      <c r="B1294" s="9" t="s">
        <v>110</v>
      </c>
      <c r="C1294" s="9" t="s">
        <v>111</v>
      </c>
      <c r="D1294" s="10" t="s">
        <v>11</v>
      </c>
      <c r="E1294" s="11" t="s">
        <v>94</v>
      </c>
      <c r="F1294" s="12">
        <v>31.28</v>
      </c>
      <c r="G1294" s="12">
        <f>F1294-'Estatística'!$D$6/'Estatística'!$D$10</f>
        <v>30.27698037</v>
      </c>
      <c r="H1294" s="13">
        <v>45162.0</v>
      </c>
      <c r="I1294" s="14" t="str">
        <f t="shared" si="1"/>
        <v>ago.</v>
      </c>
      <c r="O1294" s="8"/>
    </row>
    <row r="1295" ht="15.75" customHeight="1">
      <c r="A1295" s="19">
        <v>31.0</v>
      </c>
      <c r="B1295" s="19" t="s">
        <v>229</v>
      </c>
      <c r="C1295" s="19" t="s">
        <v>230</v>
      </c>
      <c r="D1295" s="20" t="s">
        <v>30</v>
      </c>
      <c r="E1295" s="21" t="s">
        <v>91</v>
      </c>
      <c r="F1295" s="22">
        <v>2.26</v>
      </c>
      <c r="G1295" s="22">
        <f>F1295-'Estatística'!$D$6/'Estatística'!$D$10</f>
        <v>1.256980371</v>
      </c>
      <c r="H1295" s="23">
        <v>45162.0</v>
      </c>
      <c r="I1295" s="24" t="str">
        <f t="shared" si="1"/>
        <v>ago.</v>
      </c>
      <c r="O1295" s="8"/>
    </row>
    <row r="1296" ht="15.75" customHeight="1">
      <c r="A1296" s="9">
        <v>76.0</v>
      </c>
      <c r="B1296" s="9" t="s">
        <v>213</v>
      </c>
      <c r="C1296" s="9" t="s">
        <v>214</v>
      </c>
      <c r="D1296" s="10" t="s">
        <v>11</v>
      </c>
      <c r="E1296" s="11" t="s">
        <v>12</v>
      </c>
      <c r="F1296" s="12">
        <v>10.27</v>
      </c>
      <c r="G1296" s="12">
        <f>F1296-'Estatística'!$D$6/'Estatística'!$D$10</f>
        <v>9.266980371</v>
      </c>
      <c r="H1296" s="13">
        <v>45163.0</v>
      </c>
      <c r="I1296" s="14" t="str">
        <f t="shared" si="1"/>
        <v>ago.</v>
      </c>
      <c r="O1296" s="8"/>
    </row>
    <row r="1297" ht="15.75" customHeight="1">
      <c r="A1297" s="19">
        <v>49.0</v>
      </c>
      <c r="B1297" s="19" t="s">
        <v>179</v>
      </c>
      <c r="C1297" s="19" t="s">
        <v>180</v>
      </c>
      <c r="D1297" s="20" t="s">
        <v>30</v>
      </c>
      <c r="E1297" s="21" t="s">
        <v>85</v>
      </c>
      <c r="F1297" s="22">
        <v>12.19</v>
      </c>
      <c r="G1297" s="22">
        <f>F1297-'Estatística'!$D$6/'Estatística'!$D$10</f>
        <v>11.18698037</v>
      </c>
      <c r="H1297" s="23">
        <v>45163.0</v>
      </c>
      <c r="I1297" s="24" t="str">
        <f t="shared" si="1"/>
        <v>ago.</v>
      </c>
      <c r="O1297" s="8"/>
    </row>
    <row r="1298" ht="15.75" customHeight="1">
      <c r="A1298" s="9">
        <v>71.0</v>
      </c>
      <c r="B1298" s="9" t="s">
        <v>150</v>
      </c>
      <c r="C1298" s="9" t="s">
        <v>151</v>
      </c>
      <c r="D1298" s="10" t="s">
        <v>11</v>
      </c>
      <c r="E1298" s="11" t="s">
        <v>35</v>
      </c>
      <c r="F1298" s="12">
        <v>12.3</v>
      </c>
      <c r="G1298" s="12">
        <f>F1298-'Estatística'!$D$6/'Estatística'!$D$10</f>
        <v>11.29698037</v>
      </c>
      <c r="H1298" s="13">
        <v>45163.0</v>
      </c>
      <c r="I1298" s="14" t="str">
        <f t="shared" si="1"/>
        <v>ago.</v>
      </c>
      <c r="O1298" s="8"/>
    </row>
    <row r="1299" ht="15.75" customHeight="1">
      <c r="A1299" s="19">
        <v>24.0</v>
      </c>
      <c r="B1299" s="19" t="s">
        <v>139</v>
      </c>
      <c r="C1299" s="19" t="s">
        <v>140</v>
      </c>
      <c r="D1299" s="20" t="s">
        <v>11</v>
      </c>
      <c r="E1299" s="21" t="s">
        <v>39</v>
      </c>
      <c r="F1299" s="22">
        <v>31.44</v>
      </c>
      <c r="G1299" s="22">
        <f>F1299-'Estatística'!$D$6/'Estatística'!$D$10</f>
        <v>30.43698037</v>
      </c>
      <c r="H1299" s="23">
        <v>45164.0</v>
      </c>
      <c r="I1299" s="24" t="str">
        <f t="shared" si="1"/>
        <v>ago.</v>
      </c>
      <c r="O1299" s="8"/>
    </row>
    <row r="1300" ht="15.75" customHeight="1">
      <c r="A1300" s="9">
        <v>36.0</v>
      </c>
      <c r="B1300" s="9" t="s">
        <v>92</v>
      </c>
      <c r="C1300" s="9" t="s">
        <v>93</v>
      </c>
      <c r="D1300" s="10" t="s">
        <v>11</v>
      </c>
      <c r="E1300" s="11" t="s">
        <v>82</v>
      </c>
      <c r="F1300" s="12">
        <v>12.64</v>
      </c>
      <c r="G1300" s="12">
        <f>F1300-'Estatística'!$D$6/'Estatística'!$D$10</f>
        <v>11.63698037</v>
      </c>
      <c r="H1300" s="13">
        <v>45164.0</v>
      </c>
      <c r="I1300" s="14" t="str">
        <f t="shared" si="1"/>
        <v>ago.</v>
      </c>
      <c r="O1300" s="8"/>
    </row>
    <row r="1301" ht="15.75" customHeight="1">
      <c r="A1301" s="19">
        <v>31.0</v>
      </c>
      <c r="B1301" s="19" t="s">
        <v>229</v>
      </c>
      <c r="C1301" s="19" t="s">
        <v>230</v>
      </c>
      <c r="D1301" s="20" t="s">
        <v>11</v>
      </c>
      <c r="E1301" s="21" t="s">
        <v>50</v>
      </c>
      <c r="F1301" s="22">
        <v>26.13</v>
      </c>
      <c r="G1301" s="22">
        <f>F1301-'Estatística'!$D$6/'Estatística'!$D$10</f>
        <v>25.12698037</v>
      </c>
      <c r="H1301" s="23">
        <v>45164.0</v>
      </c>
      <c r="I1301" s="24" t="str">
        <f t="shared" si="1"/>
        <v>ago.</v>
      </c>
      <c r="O1301" s="8"/>
    </row>
    <row r="1302" ht="15.75" customHeight="1">
      <c r="A1302" s="9">
        <v>45.0</v>
      </c>
      <c r="B1302" s="9" t="s">
        <v>221</v>
      </c>
      <c r="C1302" s="9" t="s">
        <v>222</v>
      </c>
      <c r="D1302" s="10" t="s">
        <v>30</v>
      </c>
      <c r="E1302" s="11" t="s">
        <v>94</v>
      </c>
      <c r="F1302" s="12">
        <v>27.22</v>
      </c>
      <c r="G1302" s="12">
        <f>F1302-'Estatística'!$D$6/'Estatística'!$D$10</f>
        <v>26.21698037</v>
      </c>
      <c r="H1302" s="13">
        <v>45164.0</v>
      </c>
      <c r="I1302" s="14" t="str">
        <f t="shared" si="1"/>
        <v>ago.</v>
      </c>
      <c r="O1302" s="8"/>
    </row>
    <row r="1303" ht="15.75" customHeight="1">
      <c r="A1303" s="19">
        <v>21.0</v>
      </c>
      <c r="B1303" s="19" t="s">
        <v>186</v>
      </c>
      <c r="C1303" s="19" t="s">
        <v>187</v>
      </c>
      <c r="D1303" s="20" t="s">
        <v>30</v>
      </c>
      <c r="E1303" s="21" t="s">
        <v>97</v>
      </c>
      <c r="F1303" s="22">
        <v>2.17</v>
      </c>
      <c r="G1303" s="22">
        <f>F1303-'Estatística'!$D$6/'Estatística'!$D$10</f>
        <v>1.166980371</v>
      </c>
      <c r="H1303" s="23">
        <v>45164.0</v>
      </c>
      <c r="I1303" s="24" t="str">
        <f t="shared" si="1"/>
        <v>ago.</v>
      </c>
      <c r="O1303" s="8"/>
    </row>
    <row r="1304" ht="15.75" customHeight="1">
      <c r="A1304" s="9">
        <v>5.0</v>
      </c>
      <c r="B1304" s="9" t="s">
        <v>167</v>
      </c>
      <c r="C1304" s="9" t="s">
        <v>168</v>
      </c>
      <c r="D1304" s="10" t="s">
        <v>30</v>
      </c>
      <c r="E1304" s="11" t="s">
        <v>72</v>
      </c>
      <c r="F1304" s="12">
        <v>20.69</v>
      </c>
      <c r="G1304" s="12">
        <f>F1304-'Estatística'!$D$6/'Estatística'!$D$10</f>
        <v>19.68698037</v>
      </c>
      <c r="H1304" s="13">
        <v>45165.0</v>
      </c>
      <c r="I1304" s="14" t="str">
        <f t="shared" si="1"/>
        <v>ago.</v>
      </c>
      <c r="O1304" s="8"/>
    </row>
    <row r="1305" ht="15.75" customHeight="1">
      <c r="A1305" s="19">
        <v>17.0</v>
      </c>
      <c r="B1305" s="19" t="s">
        <v>200</v>
      </c>
      <c r="C1305" s="19" t="s">
        <v>201</v>
      </c>
      <c r="D1305" s="20" t="s">
        <v>30</v>
      </c>
      <c r="E1305" s="21" t="s">
        <v>52</v>
      </c>
      <c r="F1305" s="22">
        <v>68.89</v>
      </c>
      <c r="G1305" s="22">
        <f>F1305-'Estatística'!$D$6/'Estatística'!$D$10</f>
        <v>67.88698037</v>
      </c>
      <c r="H1305" s="23">
        <v>45165.0</v>
      </c>
      <c r="I1305" s="24" t="str">
        <f t="shared" si="1"/>
        <v>ago.</v>
      </c>
      <c r="O1305" s="8"/>
    </row>
    <row r="1306" ht="15.75" customHeight="1">
      <c r="A1306" s="9">
        <v>44.0</v>
      </c>
      <c r="B1306" s="9" t="s">
        <v>215</v>
      </c>
      <c r="C1306" s="9" t="s">
        <v>216</v>
      </c>
      <c r="D1306" s="10" t="s">
        <v>11</v>
      </c>
      <c r="E1306" s="11" t="s">
        <v>72</v>
      </c>
      <c r="F1306" s="12">
        <v>24.32</v>
      </c>
      <c r="G1306" s="12">
        <f>F1306-'Estatística'!$D$6/'Estatística'!$D$10</f>
        <v>23.31698037</v>
      </c>
      <c r="H1306" s="13">
        <v>45165.0</v>
      </c>
      <c r="I1306" s="14" t="str">
        <f t="shared" si="1"/>
        <v>ago.</v>
      </c>
      <c r="O1306" s="8"/>
    </row>
    <row r="1307" ht="15.75" customHeight="1">
      <c r="A1307" s="19">
        <v>18.0</v>
      </c>
      <c r="B1307" s="19" t="s">
        <v>163</v>
      </c>
      <c r="C1307" s="19" t="s">
        <v>240</v>
      </c>
      <c r="D1307" s="20" t="s">
        <v>11</v>
      </c>
      <c r="E1307" s="21" t="s">
        <v>50</v>
      </c>
      <c r="F1307" s="22">
        <v>29.94</v>
      </c>
      <c r="G1307" s="22">
        <f>F1307-'Estatística'!$D$6/'Estatística'!$D$10</f>
        <v>28.93698037</v>
      </c>
      <c r="H1307" s="23">
        <v>45165.0</v>
      </c>
      <c r="I1307" s="24" t="str">
        <f t="shared" si="1"/>
        <v>ago.</v>
      </c>
      <c r="O1307" s="8"/>
    </row>
    <row r="1308" ht="15.75" customHeight="1">
      <c r="A1308" s="9">
        <v>99.0</v>
      </c>
      <c r="B1308" s="9" t="s">
        <v>73</v>
      </c>
      <c r="C1308" s="9" t="s">
        <v>74</v>
      </c>
      <c r="D1308" s="10" t="s">
        <v>11</v>
      </c>
      <c r="E1308" s="11" t="s">
        <v>88</v>
      </c>
      <c r="F1308" s="12">
        <v>34.28</v>
      </c>
      <c r="G1308" s="12">
        <f>F1308-'Estatística'!$D$6/'Estatística'!$D$10</f>
        <v>33.27698037</v>
      </c>
      <c r="H1308" s="13">
        <v>45165.0</v>
      </c>
      <c r="I1308" s="14" t="str">
        <f t="shared" si="1"/>
        <v>ago.</v>
      </c>
      <c r="O1308" s="8"/>
    </row>
    <row r="1309" ht="15.75" customHeight="1">
      <c r="A1309" s="19">
        <v>59.0</v>
      </c>
      <c r="B1309" s="19" t="s">
        <v>103</v>
      </c>
      <c r="C1309" s="19" t="s">
        <v>104</v>
      </c>
      <c r="D1309" s="20" t="s">
        <v>11</v>
      </c>
      <c r="E1309" s="21" t="s">
        <v>72</v>
      </c>
      <c r="F1309" s="22">
        <v>23.8</v>
      </c>
      <c r="G1309" s="22">
        <f>F1309-'Estatística'!$D$6/'Estatística'!$D$10</f>
        <v>22.79698037</v>
      </c>
      <c r="H1309" s="23">
        <v>45165.0</v>
      </c>
      <c r="I1309" s="24" t="str">
        <f t="shared" si="1"/>
        <v>ago.</v>
      </c>
      <c r="O1309" s="8"/>
    </row>
    <row r="1310" ht="15.75" customHeight="1">
      <c r="A1310" s="9">
        <v>29.0</v>
      </c>
      <c r="B1310" s="9" t="s">
        <v>122</v>
      </c>
      <c r="C1310" s="9" t="s">
        <v>123</v>
      </c>
      <c r="D1310" s="10" t="s">
        <v>11</v>
      </c>
      <c r="E1310" s="11" t="s">
        <v>31</v>
      </c>
      <c r="F1310" s="12">
        <v>52.01</v>
      </c>
      <c r="G1310" s="12">
        <f>F1310-'Estatística'!$D$6/'Estatística'!$D$10</f>
        <v>51.00698037</v>
      </c>
      <c r="H1310" s="13">
        <v>45165.0</v>
      </c>
      <c r="I1310" s="14" t="str">
        <f t="shared" si="1"/>
        <v>ago.</v>
      </c>
      <c r="O1310" s="8"/>
    </row>
    <row r="1311" ht="15.75" customHeight="1">
      <c r="A1311" s="19">
        <v>82.0</v>
      </c>
      <c r="B1311" s="19" t="s">
        <v>231</v>
      </c>
      <c r="C1311" s="19" t="s">
        <v>232</v>
      </c>
      <c r="D1311" s="20" t="s">
        <v>30</v>
      </c>
      <c r="E1311" s="21" t="s">
        <v>72</v>
      </c>
      <c r="F1311" s="22">
        <v>22.41</v>
      </c>
      <c r="G1311" s="22">
        <f>F1311-'Estatística'!$D$6/'Estatística'!$D$10</f>
        <v>21.40698037</v>
      </c>
      <c r="H1311" s="23">
        <v>45166.0</v>
      </c>
      <c r="I1311" s="24" t="str">
        <f t="shared" si="1"/>
        <v>ago.</v>
      </c>
      <c r="O1311" s="8"/>
    </row>
    <row r="1312" ht="15.75" customHeight="1">
      <c r="A1312" s="9">
        <v>57.0</v>
      </c>
      <c r="B1312" s="9" t="s">
        <v>92</v>
      </c>
      <c r="C1312" s="9" t="s">
        <v>190</v>
      </c>
      <c r="D1312" s="10" t="s">
        <v>11</v>
      </c>
      <c r="E1312" s="11" t="s">
        <v>43</v>
      </c>
      <c r="F1312" s="12">
        <v>19.69</v>
      </c>
      <c r="G1312" s="12">
        <f>F1312-'Estatística'!$D$6/'Estatística'!$D$10</f>
        <v>18.68698037</v>
      </c>
      <c r="H1312" s="13">
        <v>45166.0</v>
      </c>
      <c r="I1312" s="14" t="str">
        <f t="shared" si="1"/>
        <v>ago.</v>
      </c>
      <c r="O1312" s="8"/>
    </row>
    <row r="1313" ht="15.75" customHeight="1">
      <c r="A1313" s="19">
        <v>87.0</v>
      </c>
      <c r="B1313" s="19" t="s">
        <v>243</v>
      </c>
      <c r="C1313" s="19" t="s">
        <v>244</v>
      </c>
      <c r="D1313" s="20" t="s">
        <v>11</v>
      </c>
      <c r="E1313" s="21" t="s">
        <v>85</v>
      </c>
      <c r="F1313" s="22">
        <v>14.93</v>
      </c>
      <c r="G1313" s="22">
        <f>F1313-'Estatística'!$D$6/'Estatística'!$D$10</f>
        <v>13.92698037</v>
      </c>
      <c r="H1313" s="23">
        <v>45166.0</v>
      </c>
      <c r="I1313" s="24" t="str">
        <f t="shared" si="1"/>
        <v>ago.</v>
      </c>
      <c r="O1313" s="8"/>
    </row>
    <row r="1314" ht="15.75" customHeight="1">
      <c r="A1314" s="9">
        <v>95.0</v>
      </c>
      <c r="B1314" s="9" t="s">
        <v>110</v>
      </c>
      <c r="C1314" s="9" t="s">
        <v>111</v>
      </c>
      <c r="D1314" s="10" t="s">
        <v>11</v>
      </c>
      <c r="E1314" s="11" t="s">
        <v>91</v>
      </c>
      <c r="F1314" s="12">
        <v>4.35</v>
      </c>
      <c r="G1314" s="12">
        <f>F1314-'Estatística'!$D$6/'Estatística'!$D$10</f>
        <v>3.346980371</v>
      </c>
      <c r="H1314" s="13">
        <v>45166.0</v>
      </c>
      <c r="I1314" s="14" t="str">
        <f t="shared" si="1"/>
        <v>ago.</v>
      </c>
      <c r="O1314" s="8"/>
    </row>
    <row r="1315" ht="15.75" customHeight="1">
      <c r="A1315" s="19">
        <v>81.0</v>
      </c>
      <c r="B1315" s="19" t="s">
        <v>54</v>
      </c>
      <c r="C1315" s="19" t="s">
        <v>55</v>
      </c>
      <c r="D1315" s="20" t="s">
        <v>30</v>
      </c>
      <c r="E1315" s="21" t="s">
        <v>88</v>
      </c>
      <c r="F1315" s="22">
        <v>32.44</v>
      </c>
      <c r="G1315" s="22">
        <f>F1315-'Estatística'!$D$6/'Estatística'!$D$10</f>
        <v>31.43698037</v>
      </c>
      <c r="H1315" s="23">
        <v>45166.0</v>
      </c>
      <c r="I1315" s="24" t="str">
        <f t="shared" si="1"/>
        <v>ago.</v>
      </c>
      <c r="O1315" s="8"/>
    </row>
    <row r="1316" ht="15.75" customHeight="1">
      <c r="A1316" s="9">
        <v>46.0</v>
      </c>
      <c r="B1316" s="9" t="s">
        <v>143</v>
      </c>
      <c r="C1316" s="9" t="s">
        <v>144</v>
      </c>
      <c r="D1316" s="10" t="s">
        <v>11</v>
      </c>
      <c r="E1316" s="11" t="s">
        <v>68</v>
      </c>
      <c r="F1316" s="12">
        <v>7.1</v>
      </c>
      <c r="G1316" s="12">
        <f>F1316-'Estatística'!$D$6/'Estatística'!$D$10</f>
        <v>6.096980371</v>
      </c>
      <c r="H1316" s="13">
        <v>45166.0</v>
      </c>
      <c r="I1316" s="14" t="str">
        <f t="shared" si="1"/>
        <v>ago.</v>
      </c>
      <c r="O1316" s="8"/>
    </row>
    <row r="1317" ht="15.75" customHeight="1">
      <c r="A1317" s="19">
        <v>70.0</v>
      </c>
      <c r="B1317" s="19" t="s">
        <v>152</v>
      </c>
      <c r="C1317" s="19" t="s">
        <v>153</v>
      </c>
      <c r="D1317" s="20" t="s">
        <v>30</v>
      </c>
      <c r="E1317" s="21" t="s">
        <v>31</v>
      </c>
      <c r="F1317" s="22">
        <v>41.8</v>
      </c>
      <c r="G1317" s="22">
        <f>F1317-'Estatística'!$D$6/'Estatística'!$D$10</f>
        <v>40.79698037</v>
      </c>
      <c r="H1317" s="23">
        <v>45166.0</v>
      </c>
      <c r="I1317" s="24" t="str">
        <f t="shared" si="1"/>
        <v>ago.</v>
      </c>
      <c r="O1317" s="8"/>
    </row>
    <row r="1318" ht="15.75" customHeight="1">
      <c r="A1318" s="9">
        <v>30.0</v>
      </c>
      <c r="B1318" s="9" t="s">
        <v>9</v>
      </c>
      <c r="C1318" s="9" t="s">
        <v>10</v>
      </c>
      <c r="D1318" s="10" t="s">
        <v>30</v>
      </c>
      <c r="E1318" s="11" t="s">
        <v>39</v>
      </c>
      <c r="F1318" s="12">
        <v>32.56</v>
      </c>
      <c r="G1318" s="12">
        <f>F1318-'Estatística'!$D$6/'Estatística'!$D$10</f>
        <v>31.55698037</v>
      </c>
      <c r="H1318" s="13">
        <v>45166.0</v>
      </c>
      <c r="I1318" s="14" t="str">
        <f t="shared" si="1"/>
        <v>ago.</v>
      </c>
      <c r="O1318" s="8"/>
    </row>
    <row r="1319" ht="15.75" customHeight="1">
      <c r="A1319" s="19">
        <v>32.0</v>
      </c>
      <c r="B1319" s="19" t="s">
        <v>146</v>
      </c>
      <c r="C1319" s="19" t="s">
        <v>147</v>
      </c>
      <c r="D1319" s="20" t="s">
        <v>30</v>
      </c>
      <c r="E1319" s="21" t="s">
        <v>94</v>
      </c>
      <c r="F1319" s="22">
        <v>28.66</v>
      </c>
      <c r="G1319" s="22">
        <f>F1319-'Estatística'!$D$6/'Estatística'!$D$10</f>
        <v>27.65698037</v>
      </c>
      <c r="H1319" s="23">
        <v>45166.0</v>
      </c>
      <c r="I1319" s="24" t="str">
        <f t="shared" si="1"/>
        <v>ago.</v>
      </c>
      <c r="O1319" s="8"/>
    </row>
    <row r="1320" ht="15.75" customHeight="1">
      <c r="A1320" s="9">
        <v>20.0</v>
      </c>
      <c r="B1320" s="9" t="s">
        <v>161</v>
      </c>
      <c r="C1320" s="9" t="s">
        <v>162</v>
      </c>
      <c r="D1320" s="10" t="s">
        <v>30</v>
      </c>
      <c r="E1320" s="11" t="s">
        <v>60</v>
      </c>
      <c r="F1320" s="12">
        <v>54.2</v>
      </c>
      <c r="G1320" s="12">
        <f>F1320-'Estatística'!$D$6/'Estatística'!$D$10</f>
        <v>53.19698037</v>
      </c>
      <c r="H1320" s="13">
        <v>45170.0</v>
      </c>
      <c r="I1320" s="14" t="str">
        <f t="shared" si="1"/>
        <v>set.</v>
      </c>
      <c r="O1320" s="8"/>
    </row>
    <row r="1321" ht="15.75" customHeight="1">
      <c r="A1321" s="19">
        <v>32.0</v>
      </c>
      <c r="B1321" s="19" t="s">
        <v>146</v>
      </c>
      <c r="C1321" s="19" t="s">
        <v>147</v>
      </c>
      <c r="D1321" s="20" t="s">
        <v>30</v>
      </c>
      <c r="E1321" s="21" t="s">
        <v>88</v>
      </c>
      <c r="F1321" s="22">
        <v>37.81</v>
      </c>
      <c r="G1321" s="22">
        <f>F1321-'Estatística'!$D$6/'Estatística'!$D$10</f>
        <v>36.80698037</v>
      </c>
      <c r="H1321" s="23">
        <v>45170.0</v>
      </c>
      <c r="I1321" s="24" t="str">
        <f t="shared" si="1"/>
        <v>set.</v>
      </c>
      <c r="O1321" s="8"/>
    </row>
    <row r="1322" ht="15.75" customHeight="1">
      <c r="A1322" s="9">
        <v>61.0</v>
      </c>
      <c r="B1322" s="9" t="s">
        <v>106</v>
      </c>
      <c r="C1322" s="9" t="s">
        <v>107</v>
      </c>
      <c r="D1322" s="10" t="s">
        <v>30</v>
      </c>
      <c r="E1322" s="11" t="s">
        <v>56</v>
      </c>
      <c r="F1322" s="12">
        <v>71.8</v>
      </c>
      <c r="G1322" s="12">
        <f>F1322-'Estatística'!$D$6/'Estatística'!$D$10</f>
        <v>70.79698037</v>
      </c>
      <c r="H1322" s="13">
        <v>45170.0</v>
      </c>
      <c r="I1322" s="14" t="str">
        <f t="shared" si="1"/>
        <v>set.</v>
      </c>
      <c r="O1322" s="8"/>
    </row>
    <row r="1323" ht="15.75" customHeight="1">
      <c r="A1323" s="19">
        <v>66.0</v>
      </c>
      <c r="B1323" s="19" t="s">
        <v>150</v>
      </c>
      <c r="C1323" s="19" t="s">
        <v>158</v>
      </c>
      <c r="D1323" s="20" t="s">
        <v>30</v>
      </c>
      <c r="E1323" s="21" t="s">
        <v>72</v>
      </c>
      <c r="F1323" s="22">
        <v>17.77</v>
      </c>
      <c r="G1323" s="22">
        <f>F1323-'Estatística'!$D$6/'Estatística'!$D$10</f>
        <v>16.76698037</v>
      </c>
      <c r="H1323" s="23">
        <v>45170.0</v>
      </c>
      <c r="I1323" s="24" t="str">
        <f t="shared" si="1"/>
        <v>set.</v>
      </c>
      <c r="O1323" s="8"/>
    </row>
    <row r="1324" ht="15.75" customHeight="1">
      <c r="A1324" s="9">
        <v>6.0</v>
      </c>
      <c r="B1324" s="9" t="s">
        <v>183</v>
      </c>
      <c r="C1324" s="9" t="s">
        <v>184</v>
      </c>
      <c r="D1324" s="10" t="s">
        <v>11</v>
      </c>
      <c r="E1324" s="11" t="s">
        <v>31</v>
      </c>
      <c r="F1324" s="12">
        <v>44.27</v>
      </c>
      <c r="G1324" s="12">
        <f>F1324-'Estatística'!$D$6/'Estatística'!$D$10</f>
        <v>43.26698037</v>
      </c>
      <c r="H1324" s="13">
        <v>45170.0</v>
      </c>
      <c r="I1324" s="14" t="str">
        <f t="shared" si="1"/>
        <v>set.</v>
      </c>
      <c r="O1324" s="8"/>
    </row>
    <row r="1325" ht="15.75" customHeight="1">
      <c r="A1325" s="19">
        <v>21.0</v>
      </c>
      <c r="B1325" s="19" t="s">
        <v>186</v>
      </c>
      <c r="C1325" s="19" t="s">
        <v>187</v>
      </c>
      <c r="D1325" s="20" t="s">
        <v>30</v>
      </c>
      <c r="E1325" s="21" t="s">
        <v>43</v>
      </c>
      <c r="F1325" s="22">
        <v>14.85</v>
      </c>
      <c r="G1325" s="22">
        <f>F1325-'Estatística'!$D$6/'Estatística'!$D$10</f>
        <v>13.84698037</v>
      </c>
      <c r="H1325" s="23">
        <v>45170.0</v>
      </c>
      <c r="I1325" s="24" t="str">
        <f t="shared" si="1"/>
        <v>set.</v>
      </c>
      <c r="O1325" s="8"/>
    </row>
    <row r="1326" ht="15.75" customHeight="1">
      <c r="A1326" s="9">
        <v>13.0</v>
      </c>
      <c r="B1326" s="9" t="s">
        <v>137</v>
      </c>
      <c r="C1326" s="9" t="s">
        <v>138</v>
      </c>
      <c r="D1326" s="10" t="s">
        <v>11</v>
      </c>
      <c r="E1326" s="11" t="s">
        <v>91</v>
      </c>
      <c r="F1326" s="12">
        <v>1.37</v>
      </c>
      <c r="G1326" s="12">
        <f>F1326-'Estatística'!$D$6/'Estatística'!$D$10</f>
        <v>0.3669803714</v>
      </c>
      <c r="H1326" s="13">
        <v>45171.0</v>
      </c>
      <c r="I1326" s="14" t="str">
        <f t="shared" si="1"/>
        <v>set.</v>
      </c>
      <c r="O1326" s="8"/>
    </row>
    <row r="1327" ht="15.75" customHeight="1">
      <c r="A1327" s="19">
        <v>70.0</v>
      </c>
      <c r="B1327" s="19" t="s">
        <v>152</v>
      </c>
      <c r="C1327" s="19" t="s">
        <v>153</v>
      </c>
      <c r="D1327" s="20" t="s">
        <v>11</v>
      </c>
      <c r="E1327" s="21" t="s">
        <v>97</v>
      </c>
      <c r="F1327" s="22">
        <v>2.19</v>
      </c>
      <c r="G1327" s="22">
        <f>F1327-'Estatística'!$D$6/'Estatística'!$D$10</f>
        <v>1.186980371</v>
      </c>
      <c r="H1327" s="23">
        <v>45172.0</v>
      </c>
      <c r="I1327" s="24" t="str">
        <f t="shared" si="1"/>
        <v>set.</v>
      </c>
      <c r="O1327" s="8"/>
    </row>
    <row r="1328" ht="15.75" customHeight="1">
      <c r="A1328" s="9">
        <v>85.0</v>
      </c>
      <c r="B1328" s="9" t="s">
        <v>198</v>
      </c>
      <c r="C1328" s="9" t="s">
        <v>199</v>
      </c>
      <c r="D1328" s="10" t="s">
        <v>11</v>
      </c>
      <c r="E1328" s="11" t="s">
        <v>76</v>
      </c>
      <c r="F1328" s="12">
        <v>12.48</v>
      </c>
      <c r="G1328" s="12">
        <f>F1328-'Estatística'!$D$6/'Estatística'!$D$10</f>
        <v>11.47698037</v>
      </c>
      <c r="H1328" s="13">
        <v>45172.0</v>
      </c>
      <c r="I1328" s="14" t="str">
        <f t="shared" si="1"/>
        <v>set.</v>
      </c>
      <c r="O1328" s="8"/>
    </row>
    <row r="1329" ht="15.75" customHeight="1">
      <c r="A1329" s="19">
        <v>26.0</v>
      </c>
      <c r="B1329" s="19" t="s">
        <v>211</v>
      </c>
      <c r="C1329" s="19" t="s">
        <v>212</v>
      </c>
      <c r="D1329" s="20" t="s">
        <v>30</v>
      </c>
      <c r="E1329" s="21" t="s">
        <v>12</v>
      </c>
      <c r="F1329" s="22">
        <v>10.76</v>
      </c>
      <c r="G1329" s="22">
        <f>F1329-'Estatística'!$D$6/'Estatística'!$D$10</f>
        <v>9.756980371</v>
      </c>
      <c r="H1329" s="23">
        <v>45172.0</v>
      </c>
      <c r="I1329" s="24" t="str">
        <f t="shared" si="1"/>
        <v>set.</v>
      </c>
      <c r="O1329" s="8"/>
    </row>
    <row r="1330" ht="15.75" customHeight="1">
      <c r="A1330" s="9">
        <v>18.0</v>
      </c>
      <c r="B1330" s="9" t="s">
        <v>163</v>
      </c>
      <c r="C1330" s="9" t="s">
        <v>240</v>
      </c>
      <c r="D1330" s="10" t="s">
        <v>11</v>
      </c>
      <c r="E1330" s="11" t="s">
        <v>82</v>
      </c>
      <c r="F1330" s="12">
        <v>10.14</v>
      </c>
      <c r="G1330" s="12">
        <f>F1330-'Estatística'!$D$6/'Estatística'!$D$10</f>
        <v>9.136980371</v>
      </c>
      <c r="H1330" s="13">
        <v>45172.0</v>
      </c>
      <c r="I1330" s="14" t="str">
        <f t="shared" si="1"/>
        <v>set.</v>
      </c>
      <c r="O1330" s="8"/>
    </row>
    <row r="1331" ht="15.75" customHeight="1">
      <c r="A1331" s="19">
        <v>97.0</v>
      </c>
      <c r="B1331" s="19" t="s">
        <v>69</v>
      </c>
      <c r="C1331" s="19" t="s">
        <v>70</v>
      </c>
      <c r="D1331" s="20" t="s">
        <v>11</v>
      </c>
      <c r="E1331" s="21" t="s">
        <v>31</v>
      </c>
      <c r="F1331" s="22">
        <v>39.52</v>
      </c>
      <c r="G1331" s="22">
        <f>F1331-'Estatística'!$D$6/'Estatística'!$D$10</f>
        <v>38.51698037</v>
      </c>
      <c r="H1331" s="23">
        <v>45172.0</v>
      </c>
      <c r="I1331" s="24" t="str">
        <f t="shared" si="1"/>
        <v>set.</v>
      </c>
      <c r="O1331" s="8"/>
    </row>
    <row r="1332" ht="15.75" customHeight="1">
      <c r="A1332" s="9">
        <v>37.0</v>
      </c>
      <c r="B1332" s="9" t="s">
        <v>245</v>
      </c>
      <c r="C1332" s="9" t="s">
        <v>246</v>
      </c>
      <c r="D1332" s="10" t="s">
        <v>11</v>
      </c>
      <c r="E1332" s="11" t="s">
        <v>82</v>
      </c>
      <c r="F1332" s="12">
        <v>12.11</v>
      </c>
      <c r="G1332" s="12">
        <f>F1332-'Estatística'!$D$6/'Estatística'!$D$10</f>
        <v>11.10698037</v>
      </c>
      <c r="H1332" s="13">
        <v>45172.0</v>
      </c>
      <c r="I1332" s="14" t="str">
        <f t="shared" si="1"/>
        <v>set.</v>
      </c>
      <c r="O1332" s="8"/>
    </row>
    <row r="1333" ht="15.75" customHeight="1">
      <c r="A1333" s="19">
        <v>66.0</v>
      </c>
      <c r="B1333" s="19" t="s">
        <v>150</v>
      </c>
      <c r="C1333" s="19" t="s">
        <v>158</v>
      </c>
      <c r="D1333" s="20" t="s">
        <v>30</v>
      </c>
      <c r="E1333" s="21" t="s">
        <v>97</v>
      </c>
      <c r="F1333" s="22">
        <v>3.32</v>
      </c>
      <c r="G1333" s="22">
        <f>F1333-'Estatística'!$D$6/'Estatística'!$D$10</f>
        <v>2.316980371</v>
      </c>
      <c r="H1333" s="23">
        <v>45173.0</v>
      </c>
      <c r="I1333" s="24" t="str">
        <f t="shared" si="1"/>
        <v>set.</v>
      </c>
      <c r="O1333" s="8"/>
    </row>
    <row r="1334" ht="15.75" customHeight="1">
      <c r="A1334" s="9">
        <v>45.0</v>
      </c>
      <c r="B1334" s="9" t="s">
        <v>221</v>
      </c>
      <c r="C1334" s="9" t="s">
        <v>222</v>
      </c>
      <c r="D1334" s="10" t="s">
        <v>11</v>
      </c>
      <c r="E1334" s="11" t="s">
        <v>94</v>
      </c>
      <c r="F1334" s="12">
        <v>26.03</v>
      </c>
      <c r="G1334" s="12">
        <f>F1334-'Estatística'!$D$6/'Estatística'!$D$10</f>
        <v>25.02698037</v>
      </c>
      <c r="H1334" s="13">
        <v>45173.0</v>
      </c>
      <c r="I1334" s="14" t="str">
        <f t="shared" si="1"/>
        <v>set.</v>
      </c>
      <c r="O1334" s="8"/>
    </row>
    <row r="1335" ht="15.75" customHeight="1">
      <c r="A1335" s="19">
        <v>99.0</v>
      </c>
      <c r="B1335" s="19" t="s">
        <v>73</v>
      </c>
      <c r="C1335" s="19" t="s">
        <v>74</v>
      </c>
      <c r="D1335" s="20" t="s">
        <v>30</v>
      </c>
      <c r="E1335" s="21" t="s">
        <v>31</v>
      </c>
      <c r="F1335" s="22">
        <v>43.57</v>
      </c>
      <c r="G1335" s="22">
        <f>F1335-'Estatística'!$D$6/'Estatística'!$D$10</f>
        <v>42.56698037</v>
      </c>
      <c r="H1335" s="23">
        <v>45173.0</v>
      </c>
      <c r="I1335" s="24" t="str">
        <f t="shared" si="1"/>
        <v>set.</v>
      </c>
      <c r="O1335" s="8"/>
    </row>
    <row r="1336" ht="15.75" customHeight="1">
      <c r="A1336" s="9">
        <v>84.0</v>
      </c>
      <c r="B1336" s="9" t="s">
        <v>141</v>
      </c>
      <c r="C1336" s="9" t="s">
        <v>142</v>
      </c>
      <c r="D1336" s="10" t="s">
        <v>30</v>
      </c>
      <c r="E1336" s="11" t="s">
        <v>91</v>
      </c>
      <c r="F1336" s="12">
        <v>1.36</v>
      </c>
      <c r="G1336" s="12">
        <f>F1336-'Estatística'!$D$6/'Estatística'!$D$10</f>
        <v>0.3569803714</v>
      </c>
      <c r="H1336" s="13">
        <v>45173.0</v>
      </c>
      <c r="I1336" s="14" t="str">
        <f t="shared" si="1"/>
        <v>set.</v>
      </c>
      <c r="O1336" s="8"/>
    </row>
    <row r="1337" ht="15.75" customHeight="1">
      <c r="A1337" s="19">
        <v>74.0</v>
      </c>
      <c r="B1337" s="19" t="s">
        <v>9</v>
      </c>
      <c r="C1337" s="19" t="s">
        <v>124</v>
      </c>
      <c r="D1337" s="20" t="s">
        <v>11</v>
      </c>
      <c r="E1337" s="21" t="s">
        <v>97</v>
      </c>
      <c r="F1337" s="22">
        <v>3.28</v>
      </c>
      <c r="G1337" s="22">
        <f>F1337-'Estatística'!$D$6/'Estatística'!$D$10</f>
        <v>2.276980371</v>
      </c>
      <c r="H1337" s="23">
        <v>45173.0</v>
      </c>
      <c r="I1337" s="24" t="str">
        <f t="shared" si="1"/>
        <v>set.</v>
      </c>
      <c r="O1337" s="8"/>
    </row>
    <row r="1338" ht="15.75" customHeight="1">
      <c r="A1338" s="9">
        <v>70.0</v>
      </c>
      <c r="B1338" s="9" t="s">
        <v>152</v>
      </c>
      <c r="C1338" s="9" t="s">
        <v>153</v>
      </c>
      <c r="D1338" s="10" t="s">
        <v>11</v>
      </c>
      <c r="E1338" s="11" t="s">
        <v>50</v>
      </c>
      <c r="F1338" s="12">
        <v>34.23</v>
      </c>
      <c r="G1338" s="12">
        <f>F1338-'Estatística'!$D$6/'Estatística'!$D$10</f>
        <v>33.22698037</v>
      </c>
      <c r="H1338" s="13">
        <v>45174.0</v>
      </c>
      <c r="I1338" s="14" t="str">
        <f t="shared" si="1"/>
        <v>set.</v>
      </c>
      <c r="O1338" s="8"/>
    </row>
    <row r="1339" ht="15.75" customHeight="1">
      <c r="A1339" s="19">
        <v>47.0</v>
      </c>
      <c r="B1339" s="19" t="s">
        <v>120</v>
      </c>
      <c r="C1339" s="19" t="s">
        <v>121</v>
      </c>
      <c r="D1339" s="20" t="s">
        <v>11</v>
      </c>
      <c r="E1339" s="21" t="s">
        <v>76</v>
      </c>
      <c r="F1339" s="22">
        <v>10.91</v>
      </c>
      <c r="G1339" s="22">
        <f>F1339-'Estatística'!$D$6/'Estatística'!$D$10</f>
        <v>9.906980371</v>
      </c>
      <c r="H1339" s="23">
        <v>45174.0</v>
      </c>
      <c r="I1339" s="24" t="str">
        <f t="shared" si="1"/>
        <v>set.</v>
      </c>
      <c r="O1339" s="8"/>
    </row>
    <row r="1340" ht="15.75" customHeight="1">
      <c r="A1340" s="9">
        <v>44.0</v>
      </c>
      <c r="B1340" s="9" t="s">
        <v>215</v>
      </c>
      <c r="C1340" s="9" t="s">
        <v>216</v>
      </c>
      <c r="D1340" s="10" t="s">
        <v>11</v>
      </c>
      <c r="E1340" s="11" t="s">
        <v>50</v>
      </c>
      <c r="F1340" s="12">
        <v>28.65</v>
      </c>
      <c r="G1340" s="12">
        <f>F1340-'Estatística'!$D$6/'Estatística'!$D$10</f>
        <v>27.64698037</v>
      </c>
      <c r="H1340" s="13">
        <v>45174.0</v>
      </c>
      <c r="I1340" s="14" t="str">
        <f t="shared" si="1"/>
        <v>set.</v>
      </c>
      <c r="O1340" s="8"/>
    </row>
    <row r="1341" ht="15.75" customHeight="1">
      <c r="A1341" s="19">
        <v>74.0</v>
      </c>
      <c r="B1341" s="19" t="s">
        <v>9</v>
      </c>
      <c r="C1341" s="19" t="s">
        <v>124</v>
      </c>
      <c r="D1341" s="20" t="s">
        <v>11</v>
      </c>
      <c r="E1341" s="21" t="s">
        <v>35</v>
      </c>
      <c r="F1341" s="22">
        <v>18.53</v>
      </c>
      <c r="G1341" s="22">
        <f>F1341-'Estatística'!$D$6/'Estatística'!$D$10</f>
        <v>17.52698037</v>
      </c>
      <c r="H1341" s="23">
        <v>45174.0</v>
      </c>
      <c r="I1341" s="24" t="str">
        <f t="shared" si="1"/>
        <v>set.</v>
      </c>
      <c r="O1341" s="8"/>
    </row>
    <row r="1342" ht="15.75" customHeight="1">
      <c r="A1342" s="9">
        <v>34.0</v>
      </c>
      <c r="B1342" s="9" t="s">
        <v>177</v>
      </c>
      <c r="C1342" s="9" t="s">
        <v>178</v>
      </c>
      <c r="D1342" s="10" t="s">
        <v>11</v>
      </c>
      <c r="E1342" s="11" t="s">
        <v>46</v>
      </c>
      <c r="F1342" s="12">
        <v>12.62</v>
      </c>
      <c r="G1342" s="12">
        <f>F1342-'Estatística'!$D$6/'Estatística'!$D$10</f>
        <v>11.61698037</v>
      </c>
      <c r="H1342" s="13">
        <v>45174.0</v>
      </c>
      <c r="I1342" s="14" t="str">
        <f t="shared" si="1"/>
        <v>set.</v>
      </c>
      <c r="O1342" s="8"/>
    </row>
    <row r="1343" ht="15.75" customHeight="1">
      <c r="A1343" s="19">
        <v>100.0</v>
      </c>
      <c r="B1343" s="19" t="s">
        <v>48</v>
      </c>
      <c r="C1343" s="19" t="s">
        <v>49</v>
      </c>
      <c r="D1343" s="20" t="s">
        <v>30</v>
      </c>
      <c r="E1343" s="21" t="s">
        <v>82</v>
      </c>
      <c r="F1343" s="22">
        <v>12.86</v>
      </c>
      <c r="G1343" s="22">
        <f>F1343-'Estatística'!$D$6/'Estatística'!$D$10</f>
        <v>11.85698037</v>
      </c>
      <c r="H1343" s="23">
        <v>45174.0</v>
      </c>
      <c r="I1343" s="24" t="str">
        <f t="shared" si="1"/>
        <v>set.</v>
      </c>
      <c r="O1343" s="8"/>
    </row>
    <row r="1344" ht="15.75" customHeight="1">
      <c r="A1344" s="9">
        <v>13.0</v>
      </c>
      <c r="B1344" s="9" t="s">
        <v>137</v>
      </c>
      <c r="C1344" s="9" t="s">
        <v>138</v>
      </c>
      <c r="D1344" s="10" t="s">
        <v>30</v>
      </c>
      <c r="E1344" s="11" t="s">
        <v>60</v>
      </c>
      <c r="F1344" s="12">
        <v>44.27</v>
      </c>
      <c r="G1344" s="12">
        <f>F1344-'Estatística'!$D$6/'Estatística'!$D$10</f>
        <v>43.26698037</v>
      </c>
      <c r="H1344" s="13">
        <v>45174.0</v>
      </c>
      <c r="I1344" s="14" t="str">
        <f t="shared" si="1"/>
        <v>set.</v>
      </c>
      <c r="O1344" s="8"/>
    </row>
    <row r="1345" ht="15.75" customHeight="1">
      <c r="A1345" s="19">
        <v>77.0</v>
      </c>
      <c r="B1345" s="19" t="s">
        <v>9</v>
      </c>
      <c r="C1345" s="19" t="s">
        <v>169</v>
      </c>
      <c r="D1345" s="20" t="s">
        <v>30</v>
      </c>
      <c r="E1345" s="21" t="s">
        <v>97</v>
      </c>
      <c r="F1345" s="22">
        <v>4.8</v>
      </c>
      <c r="G1345" s="22">
        <f>F1345-'Estatística'!$D$6/'Estatística'!$D$10</f>
        <v>3.796980371</v>
      </c>
      <c r="H1345" s="23">
        <v>45175.0</v>
      </c>
      <c r="I1345" s="24" t="str">
        <f t="shared" si="1"/>
        <v>set.</v>
      </c>
      <c r="O1345" s="8"/>
    </row>
    <row r="1346" ht="15.75" customHeight="1">
      <c r="A1346" s="9">
        <v>73.0</v>
      </c>
      <c r="B1346" s="9" t="s">
        <v>223</v>
      </c>
      <c r="C1346" s="9" t="s">
        <v>224</v>
      </c>
      <c r="D1346" s="10" t="s">
        <v>11</v>
      </c>
      <c r="E1346" s="11" t="s">
        <v>60</v>
      </c>
      <c r="F1346" s="12">
        <v>54.36</v>
      </c>
      <c r="G1346" s="12">
        <f>F1346-'Estatística'!$D$6/'Estatística'!$D$10</f>
        <v>53.35698037</v>
      </c>
      <c r="H1346" s="13">
        <v>45175.0</v>
      </c>
      <c r="I1346" s="14" t="str">
        <f t="shared" si="1"/>
        <v>set.</v>
      </c>
      <c r="O1346" s="8"/>
    </row>
    <row r="1347" ht="15.75" customHeight="1">
      <c r="A1347" s="19">
        <v>93.0</v>
      </c>
      <c r="B1347" s="19" t="s">
        <v>129</v>
      </c>
      <c r="C1347" s="19" t="s">
        <v>130</v>
      </c>
      <c r="D1347" s="20" t="s">
        <v>11</v>
      </c>
      <c r="E1347" s="21" t="s">
        <v>68</v>
      </c>
      <c r="F1347" s="22">
        <v>18.51</v>
      </c>
      <c r="G1347" s="22">
        <f>F1347-'Estatística'!$D$6/'Estatística'!$D$10</f>
        <v>17.50698037</v>
      </c>
      <c r="H1347" s="23">
        <v>45176.0</v>
      </c>
      <c r="I1347" s="24" t="str">
        <f t="shared" si="1"/>
        <v>set.</v>
      </c>
      <c r="O1347" s="8"/>
    </row>
    <row r="1348" ht="15.75" customHeight="1">
      <c r="A1348" s="9">
        <v>3.0</v>
      </c>
      <c r="B1348" s="9" t="s">
        <v>80</v>
      </c>
      <c r="C1348" s="9" t="s">
        <v>81</v>
      </c>
      <c r="D1348" s="10" t="s">
        <v>11</v>
      </c>
      <c r="E1348" s="11" t="s">
        <v>43</v>
      </c>
      <c r="F1348" s="12">
        <v>20.55</v>
      </c>
      <c r="G1348" s="12">
        <f>F1348-'Estatística'!$D$6/'Estatística'!$D$10</f>
        <v>19.54698037</v>
      </c>
      <c r="H1348" s="13">
        <v>45176.0</v>
      </c>
      <c r="I1348" s="14" t="str">
        <f t="shared" si="1"/>
        <v>set.</v>
      </c>
      <c r="O1348" s="8"/>
    </row>
    <row r="1349" ht="15.75" customHeight="1">
      <c r="A1349" s="19">
        <v>44.0</v>
      </c>
      <c r="B1349" s="19" t="s">
        <v>215</v>
      </c>
      <c r="C1349" s="19" t="s">
        <v>216</v>
      </c>
      <c r="D1349" s="20" t="s">
        <v>11</v>
      </c>
      <c r="E1349" s="21" t="s">
        <v>35</v>
      </c>
      <c r="F1349" s="22">
        <v>15.45</v>
      </c>
      <c r="G1349" s="22">
        <f>F1349-'Estatística'!$D$6/'Estatística'!$D$10</f>
        <v>14.44698037</v>
      </c>
      <c r="H1349" s="23">
        <v>45176.0</v>
      </c>
      <c r="I1349" s="24" t="str">
        <f t="shared" si="1"/>
        <v>set.</v>
      </c>
      <c r="O1349" s="8"/>
    </row>
    <row r="1350" ht="15.75" customHeight="1">
      <c r="A1350" s="9">
        <v>89.0</v>
      </c>
      <c r="B1350" s="9" t="s">
        <v>135</v>
      </c>
      <c r="C1350" s="9" t="s">
        <v>136</v>
      </c>
      <c r="D1350" s="10" t="s">
        <v>11</v>
      </c>
      <c r="E1350" s="11" t="s">
        <v>31</v>
      </c>
      <c r="F1350" s="12">
        <v>40.34</v>
      </c>
      <c r="G1350" s="12">
        <f>F1350-'Estatística'!$D$6/'Estatística'!$D$10</f>
        <v>39.33698037</v>
      </c>
      <c r="H1350" s="13">
        <v>45176.0</v>
      </c>
      <c r="I1350" s="14" t="str">
        <f t="shared" si="1"/>
        <v>set.</v>
      </c>
      <c r="O1350" s="8"/>
    </row>
    <row r="1351" ht="15.75" customHeight="1">
      <c r="A1351" s="19">
        <v>92.0</v>
      </c>
      <c r="B1351" s="19" t="s">
        <v>112</v>
      </c>
      <c r="C1351" s="19" t="s">
        <v>197</v>
      </c>
      <c r="D1351" s="20" t="s">
        <v>11</v>
      </c>
      <c r="E1351" s="21" t="s">
        <v>82</v>
      </c>
      <c r="F1351" s="22">
        <v>13.66</v>
      </c>
      <c r="G1351" s="22">
        <f>F1351-'Estatística'!$D$6/'Estatística'!$D$10</f>
        <v>12.65698037</v>
      </c>
      <c r="H1351" s="23">
        <v>45176.0</v>
      </c>
      <c r="I1351" s="24" t="str">
        <f t="shared" si="1"/>
        <v>set.</v>
      </c>
      <c r="O1351" s="8"/>
    </row>
    <row r="1352" ht="15.75" customHeight="1">
      <c r="A1352" s="9">
        <v>55.0</v>
      </c>
      <c r="B1352" s="9" t="s">
        <v>202</v>
      </c>
      <c r="C1352" s="9" t="s">
        <v>203</v>
      </c>
      <c r="D1352" s="10" t="s">
        <v>11</v>
      </c>
      <c r="E1352" s="11" t="s">
        <v>60</v>
      </c>
      <c r="F1352" s="12">
        <v>53.37</v>
      </c>
      <c r="G1352" s="12">
        <f>F1352-'Estatística'!$D$6/'Estatística'!$D$10</f>
        <v>52.36698037</v>
      </c>
      <c r="H1352" s="13">
        <v>45177.0</v>
      </c>
      <c r="I1352" s="14" t="str">
        <f t="shared" si="1"/>
        <v>set.</v>
      </c>
      <c r="O1352" s="8"/>
    </row>
    <row r="1353" ht="15.75" customHeight="1">
      <c r="A1353" s="19">
        <v>30.0</v>
      </c>
      <c r="B1353" s="19" t="s">
        <v>9</v>
      </c>
      <c r="C1353" s="19" t="s">
        <v>10</v>
      </c>
      <c r="D1353" s="20" t="s">
        <v>30</v>
      </c>
      <c r="E1353" s="21" t="s">
        <v>94</v>
      </c>
      <c r="F1353" s="22">
        <v>27.78</v>
      </c>
      <c r="G1353" s="22">
        <f>F1353-'Estatística'!$D$6/'Estatística'!$D$10</f>
        <v>26.77698037</v>
      </c>
      <c r="H1353" s="23">
        <v>45177.0</v>
      </c>
      <c r="I1353" s="24" t="str">
        <f t="shared" si="1"/>
        <v>set.</v>
      </c>
      <c r="O1353" s="8"/>
    </row>
    <row r="1354" ht="15.75" customHeight="1">
      <c r="A1354" s="9">
        <v>37.0</v>
      </c>
      <c r="B1354" s="9" t="s">
        <v>245</v>
      </c>
      <c r="C1354" s="9" t="s">
        <v>246</v>
      </c>
      <c r="D1354" s="10" t="s">
        <v>11</v>
      </c>
      <c r="E1354" s="11" t="s">
        <v>85</v>
      </c>
      <c r="F1354" s="12">
        <v>14.35</v>
      </c>
      <c r="G1354" s="12">
        <f>F1354-'Estatística'!$D$6/'Estatística'!$D$10</f>
        <v>13.34698037</v>
      </c>
      <c r="H1354" s="13">
        <v>45177.0</v>
      </c>
      <c r="I1354" s="14" t="str">
        <f t="shared" si="1"/>
        <v>set.</v>
      </c>
      <c r="O1354" s="8"/>
    </row>
    <row r="1355" ht="15.75" customHeight="1">
      <c r="A1355" s="19">
        <v>6.0</v>
      </c>
      <c r="B1355" s="19" t="s">
        <v>183</v>
      </c>
      <c r="C1355" s="19" t="s">
        <v>184</v>
      </c>
      <c r="D1355" s="20" t="s">
        <v>11</v>
      </c>
      <c r="E1355" s="21" t="s">
        <v>60</v>
      </c>
      <c r="F1355" s="22">
        <v>44.93</v>
      </c>
      <c r="G1355" s="22">
        <f>F1355-'Estatística'!$D$6/'Estatística'!$D$10</f>
        <v>43.92698037</v>
      </c>
      <c r="H1355" s="23">
        <v>45178.0</v>
      </c>
      <c r="I1355" s="24" t="str">
        <f t="shared" si="1"/>
        <v>set.</v>
      </c>
      <c r="O1355" s="8"/>
    </row>
    <row r="1356" ht="15.75" customHeight="1">
      <c r="A1356" s="9">
        <v>97.0</v>
      </c>
      <c r="B1356" s="9" t="s">
        <v>69</v>
      </c>
      <c r="C1356" s="9" t="s">
        <v>70</v>
      </c>
      <c r="D1356" s="10" t="s">
        <v>11</v>
      </c>
      <c r="E1356" s="11" t="s">
        <v>94</v>
      </c>
      <c r="F1356" s="12">
        <v>26.12</v>
      </c>
      <c r="G1356" s="12">
        <f>F1356-'Estatística'!$D$6/'Estatística'!$D$10</f>
        <v>25.11698037</v>
      </c>
      <c r="H1356" s="13">
        <v>45178.0</v>
      </c>
      <c r="I1356" s="14" t="str">
        <f t="shared" si="1"/>
        <v>set.</v>
      </c>
      <c r="O1356" s="8"/>
    </row>
    <row r="1357" ht="15.75" customHeight="1">
      <c r="A1357" s="19">
        <v>32.0</v>
      </c>
      <c r="B1357" s="19" t="s">
        <v>146</v>
      </c>
      <c r="C1357" s="19" t="s">
        <v>147</v>
      </c>
      <c r="D1357" s="20" t="s">
        <v>11</v>
      </c>
      <c r="E1357" s="21" t="s">
        <v>97</v>
      </c>
      <c r="F1357" s="22">
        <v>5.24</v>
      </c>
      <c r="G1357" s="22">
        <f>F1357-'Estatística'!$D$6/'Estatística'!$D$10</f>
        <v>4.236980371</v>
      </c>
      <c r="H1357" s="23">
        <v>45179.0</v>
      </c>
      <c r="I1357" s="24" t="str">
        <f t="shared" si="1"/>
        <v>set.</v>
      </c>
      <c r="O1357" s="8"/>
    </row>
    <row r="1358" ht="15.75" customHeight="1">
      <c r="A1358" s="9">
        <v>2.0</v>
      </c>
      <c r="B1358" s="9" t="s">
        <v>83</v>
      </c>
      <c r="C1358" s="9" t="s">
        <v>84</v>
      </c>
      <c r="D1358" s="10" t="s">
        <v>11</v>
      </c>
      <c r="E1358" s="11" t="s">
        <v>46</v>
      </c>
      <c r="F1358" s="12">
        <v>12.95</v>
      </c>
      <c r="G1358" s="12">
        <f>F1358-'Estatística'!$D$6/'Estatística'!$D$10</f>
        <v>11.94698037</v>
      </c>
      <c r="H1358" s="13">
        <v>45179.0</v>
      </c>
      <c r="I1358" s="14" t="str">
        <f t="shared" si="1"/>
        <v>set.</v>
      </c>
      <c r="O1358" s="8"/>
    </row>
    <row r="1359" ht="15.75" customHeight="1">
      <c r="A1359" s="19">
        <v>72.0</v>
      </c>
      <c r="B1359" s="19" t="s">
        <v>133</v>
      </c>
      <c r="C1359" s="19" t="s">
        <v>134</v>
      </c>
      <c r="D1359" s="20" t="s">
        <v>11</v>
      </c>
      <c r="E1359" s="21" t="s">
        <v>94</v>
      </c>
      <c r="F1359" s="22">
        <v>31.76</v>
      </c>
      <c r="G1359" s="22">
        <f>F1359-'Estatística'!$D$6/'Estatística'!$D$10</f>
        <v>30.75698037</v>
      </c>
      <c r="H1359" s="23">
        <v>45179.0</v>
      </c>
      <c r="I1359" s="24" t="str">
        <f t="shared" si="1"/>
        <v>set.</v>
      </c>
      <c r="O1359" s="8"/>
    </row>
    <row r="1360" ht="15.75" customHeight="1">
      <c r="A1360" s="9">
        <v>22.0</v>
      </c>
      <c r="B1360" s="9" t="s">
        <v>131</v>
      </c>
      <c r="C1360" s="9" t="s">
        <v>132</v>
      </c>
      <c r="D1360" s="10" t="s">
        <v>30</v>
      </c>
      <c r="E1360" s="11" t="s">
        <v>56</v>
      </c>
      <c r="F1360" s="12">
        <v>64.53</v>
      </c>
      <c r="G1360" s="12">
        <f>F1360-'Estatística'!$D$6/'Estatística'!$D$10</f>
        <v>63.52698037</v>
      </c>
      <c r="H1360" s="13">
        <v>45179.0</v>
      </c>
      <c r="I1360" s="14" t="str">
        <f t="shared" si="1"/>
        <v>set.</v>
      </c>
      <c r="O1360" s="8"/>
    </row>
    <row r="1361" ht="15.75" customHeight="1">
      <c r="A1361" s="19">
        <v>72.0</v>
      </c>
      <c r="B1361" s="19" t="s">
        <v>133</v>
      </c>
      <c r="C1361" s="19" t="s">
        <v>134</v>
      </c>
      <c r="D1361" s="20" t="s">
        <v>30</v>
      </c>
      <c r="E1361" s="21" t="s">
        <v>43</v>
      </c>
      <c r="F1361" s="22">
        <v>13.15</v>
      </c>
      <c r="G1361" s="22">
        <f>F1361-'Estatística'!$D$6/'Estatística'!$D$10</f>
        <v>12.14698037</v>
      </c>
      <c r="H1361" s="23">
        <v>45180.0</v>
      </c>
      <c r="I1361" s="24" t="str">
        <f t="shared" si="1"/>
        <v>set.</v>
      </c>
      <c r="O1361" s="8"/>
    </row>
    <row r="1362" ht="15.75" customHeight="1">
      <c r="A1362" s="9">
        <v>10.0</v>
      </c>
      <c r="B1362" s="9" t="s">
        <v>148</v>
      </c>
      <c r="C1362" s="9" t="s">
        <v>149</v>
      </c>
      <c r="D1362" s="10" t="s">
        <v>11</v>
      </c>
      <c r="E1362" s="11" t="s">
        <v>39</v>
      </c>
      <c r="F1362" s="12">
        <v>19.6</v>
      </c>
      <c r="G1362" s="12">
        <f>F1362-'Estatística'!$D$6/'Estatística'!$D$10</f>
        <v>18.59698037</v>
      </c>
      <c r="H1362" s="13">
        <v>45180.0</v>
      </c>
      <c r="I1362" s="14" t="str">
        <f t="shared" si="1"/>
        <v>set.</v>
      </c>
      <c r="O1362" s="8"/>
    </row>
    <row r="1363" ht="15.75" customHeight="1">
      <c r="A1363" s="19">
        <v>37.0</v>
      </c>
      <c r="B1363" s="19" t="s">
        <v>245</v>
      </c>
      <c r="C1363" s="19" t="s">
        <v>246</v>
      </c>
      <c r="D1363" s="20" t="s">
        <v>11</v>
      </c>
      <c r="E1363" s="21" t="s">
        <v>52</v>
      </c>
      <c r="F1363" s="22">
        <v>59.63</v>
      </c>
      <c r="G1363" s="22">
        <f>F1363-'Estatística'!$D$6/'Estatística'!$D$10</f>
        <v>58.62698037</v>
      </c>
      <c r="H1363" s="23">
        <v>45180.0</v>
      </c>
      <c r="I1363" s="24" t="str">
        <f t="shared" si="1"/>
        <v>set.</v>
      </c>
      <c r="O1363" s="8"/>
    </row>
    <row r="1364" ht="15.75" customHeight="1">
      <c r="A1364" s="9">
        <v>75.0</v>
      </c>
      <c r="B1364" s="9" t="s">
        <v>238</v>
      </c>
      <c r="C1364" s="9" t="s">
        <v>239</v>
      </c>
      <c r="D1364" s="10" t="s">
        <v>11</v>
      </c>
      <c r="E1364" s="11" t="s">
        <v>79</v>
      </c>
      <c r="F1364" s="12">
        <v>28.14</v>
      </c>
      <c r="G1364" s="12">
        <f>F1364-'Estatística'!$D$6/'Estatística'!$D$10</f>
        <v>27.13698037</v>
      </c>
      <c r="H1364" s="13">
        <v>45180.0</v>
      </c>
      <c r="I1364" s="14" t="str">
        <f t="shared" si="1"/>
        <v>set.</v>
      </c>
      <c r="O1364" s="8"/>
    </row>
    <row r="1365" ht="15.75" customHeight="1">
      <c r="A1365" s="19">
        <v>17.0</v>
      </c>
      <c r="B1365" s="19" t="s">
        <v>200</v>
      </c>
      <c r="C1365" s="19" t="s">
        <v>201</v>
      </c>
      <c r="D1365" s="20" t="s">
        <v>11</v>
      </c>
      <c r="E1365" s="21" t="s">
        <v>72</v>
      </c>
      <c r="F1365" s="22">
        <v>24.86</v>
      </c>
      <c r="G1365" s="22">
        <f>F1365-'Estatística'!$D$6/'Estatística'!$D$10</f>
        <v>23.85698037</v>
      </c>
      <c r="H1365" s="23">
        <v>45180.0</v>
      </c>
      <c r="I1365" s="24" t="str">
        <f t="shared" si="1"/>
        <v>set.</v>
      </c>
      <c r="O1365" s="8"/>
    </row>
    <row r="1366" ht="15.75" customHeight="1">
      <c r="A1366" s="9">
        <v>60.0</v>
      </c>
      <c r="B1366" s="9" t="s">
        <v>65</v>
      </c>
      <c r="C1366" s="9" t="s">
        <v>66</v>
      </c>
      <c r="D1366" s="10" t="s">
        <v>30</v>
      </c>
      <c r="E1366" s="11" t="s">
        <v>46</v>
      </c>
      <c r="F1366" s="12">
        <v>12.55</v>
      </c>
      <c r="G1366" s="12">
        <f>F1366-'Estatística'!$D$6/'Estatística'!$D$10</f>
        <v>11.54698037</v>
      </c>
      <c r="H1366" s="13">
        <v>45180.0</v>
      </c>
      <c r="I1366" s="14" t="str">
        <f t="shared" si="1"/>
        <v>set.</v>
      </c>
      <c r="O1366" s="8"/>
    </row>
    <row r="1367" ht="15.75" customHeight="1">
      <c r="A1367" s="19">
        <v>45.0</v>
      </c>
      <c r="B1367" s="19" t="s">
        <v>221</v>
      </c>
      <c r="C1367" s="19" t="s">
        <v>222</v>
      </c>
      <c r="D1367" s="20" t="s">
        <v>30</v>
      </c>
      <c r="E1367" s="21" t="s">
        <v>31</v>
      </c>
      <c r="F1367" s="22">
        <v>51.69</v>
      </c>
      <c r="G1367" s="22">
        <f>F1367-'Estatística'!$D$6/'Estatística'!$D$10</f>
        <v>50.68698037</v>
      </c>
      <c r="H1367" s="23">
        <v>45180.0</v>
      </c>
      <c r="I1367" s="24" t="str">
        <f t="shared" si="1"/>
        <v>set.</v>
      </c>
      <c r="O1367" s="8"/>
    </row>
    <row r="1368" ht="15.75" customHeight="1">
      <c r="A1368" s="9">
        <v>89.0</v>
      </c>
      <c r="B1368" s="9" t="s">
        <v>135</v>
      </c>
      <c r="C1368" s="9" t="s">
        <v>136</v>
      </c>
      <c r="D1368" s="10" t="s">
        <v>30</v>
      </c>
      <c r="E1368" s="11" t="s">
        <v>94</v>
      </c>
      <c r="F1368" s="12">
        <v>29.1</v>
      </c>
      <c r="G1368" s="12">
        <f>F1368-'Estatística'!$D$6/'Estatística'!$D$10</f>
        <v>28.09698037</v>
      </c>
      <c r="H1368" s="13">
        <v>45181.0</v>
      </c>
      <c r="I1368" s="14" t="str">
        <f t="shared" si="1"/>
        <v>set.</v>
      </c>
      <c r="O1368" s="8"/>
    </row>
    <row r="1369" ht="15.75" customHeight="1">
      <c r="A1369" s="19">
        <v>29.0</v>
      </c>
      <c r="B1369" s="19" t="s">
        <v>122</v>
      </c>
      <c r="C1369" s="19" t="s">
        <v>123</v>
      </c>
      <c r="D1369" s="20" t="s">
        <v>11</v>
      </c>
      <c r="E1369" s="21" t="s">
        <v>97</v>
      </c>
      <c r="F1369" s="22">
        <v>4.33</v>
      </c>
      <c r="G1369" s="22">
        <f>F1369-'Estatística'!$D$6/'Estatística'!$D$10</f>
        <v>3.326980371</v>
      </c>
      <c r="H1369" s="23">
        <v>45181.0</v>
      </c>
      <c r="I1369" s="24" t="str">
        <f t="shared" si="1"/>
        <v>set.</v>
      </c>
      <c r="O1369" s="8"/>
    </row>
    <row r="1370" ht="15.75" customHeight="1">
      <c r="A1370" s="9">
        <v>87.0</v>
      </c>
      <c r="B1370" s="9" t="s">
        <v>243</v>
      </c>
      <c r="C1370" s="9" t="s">
        <v>244</v>
      </c>
      <c r="D1370" s="10" t="s">
        <v>30</v>
      </c>
      <c r="E1370" s="11" t="s">
        <v>97</v>
      </c>
      <c r="F1370" s="12">
        <v>2.07</v>
      </c>
      <c r="G1370" s="12">
        <f>F1370-'Estatística'!$D$6/'Estatística'!$D$10</f>
        <v>1.066980371</v>
      </c>
      <c r="H1370" s="13">
        <v>45181.0</v>
      </c>
      <c r="I1370" s="14" t="str">
        <f t="shared" si="1"/>
        <v>set.</v>
      </c>
      <c r="O1370" s="8"/>
    </row>
    <row r="1371" ht="15.75" customHeight="1">
      <c r="A1371" s="19">
        <v>71.0</v>
      </c>
      <c r="B1371" s="19" t="s">
        <v>150</v>
      </c>
      <c r="C1371" s="19" t="s">
        <v>151</v>
      </c>
      <c r="D1371" s="20" t="s">
        <v>30</v>
      </c>
      <c r="E1371" s="21" t="s">
        <v>79</v>
      </c>
      <c r="F1371" s="22">
        <v>32.65</v>
      </c>
      <c r="G1371" s="22">
        <f>F1371-'Estatística'!$D$6/'Estatística'!$D$10</f>
        <v>31.64698037</v>
      </c>
      <c r="H1371" s="23">
        <v>45181.0</v>
      </c>
      <c r="I1371" s="24" t="str">
        <f t="shared" si="1"/>
        <v>set.</v>
      </c>
      <c r="O1371" s="8"/>
    </row>
    <row r="1372" ht="15.75" customHeight="1">
      <c r="A1372" s="9">
        <v>22.0</v>
      </c>
      <c r="B1372" s="9" t="s">
        <v>131</v>
      </c>
      <c r="C1372" s="9" t="s">
        <v>132</v>
      </c>
      <c r="D1372" s="10" t="s">
        <v>30</v>
      </c>
      <c r="E1372" s="11" t="s">
        <v>31</v>
      </c>
      <c r="F1372" s="12">
        <v>55.69</v>
      </c>
      <c r="G1372" s="12">
        <f>F1372-'Estatística'!$D$6/'Estatística'!$D$10</f>
        <v>54.68698037</v>
      </c>
      <c r="H1372" s="13">
        <v>45181.0</v>
      </c>
      <c r="I1372" s="14" t="str">
        <f t="shared" si="1"/>
        <v>set.</v>
      </c>
      <c r="O1372" s="8"/>
    </row>
    <row r="1373" ht="15.75" customHeight="1">
      <c r="A1373" s="19">
        <v>57.0</v>
      </c>
      <c r="B1373" s="19" t="s">
        <v>92</v>
      </c>
      <c r="C1373" s="19" t="s">
        <v>190</v>
      </c>
      <c r="D1373" s="20" t="s">
        <v>11</v>
      </c>
      <c r="E1373" s="21" t="s">
        <v>60</v>
      </c>
      <c r="F1373" s="22">
        <v>35.57</v>
      </c>
      <c r="G1373" s="22">
        <f>F1373-'Estatística'!$D$6/'Estatística'!$D$10</f>
        <v>34.56698037</v>
      </c>
      <c r="H1373" s="23">
        <v>45181.0</v>
      </c>
      <c r="I1373" s="24" t="str">
        <f t="shared" si="1"/>
        <v>set.</v>
      </c>
      <c r="O1373" s="8"/>
    </row>
    <row r="1374" ht="15.75" customHeight="1">
      <c r="A1374" s="9">
        <v>70.0</v>
      </c>
      <c r="B1374" s="9" t="s">
        <v>152</v>
      </c>
      <c r="C1374" s="9" t="s">
        <v>153</v>
      </c>
      <c r="D1374" s="10" t="s">
        <v>30</v>
      </c>
      <c r="E1374" s="11" t="s">
        <v>85</v>
      </c>
      <c r="F1374" s="12">
        <v>15.91</v>
      </c>
      <c r="G1374" s="12">
        <f>F1374-'Estatística'!$D$6/'Estatística'!$D$10</f>
        <v>14.90698037</v>
      </c>
      <c r="H1374" s="13">
        <v>45181.0</v>
      </c>
      <c r="I1374" s="14" t="str">
        <f t="shared" si="1"/>
        <v>set.</v>
      </c>
      <c r="O1374" s="8"/>
    </row>
    <row r="1375" ht="15.75" customHeight="1">
      <c r="A1375" s="19">
        <v>1.0</v>
      </c>
      <c r="B1375" s="19" t="s">
        <v>194</v>
      </c>
      <c r="C1375" s="19" t="s">
        <v>195</v>
      </c>
      <c r="D1375" s="20" t="s">
        <v>30</v>
      </c>
      <c r="E1375" s="21" t="s">
        <v>76</v>
      </c>
      <c r="F1375" s="22">
        <v>11.66</v>
      </c>
      <c r="G1375" s="22">
        <f>F1375-'Estatística'!$D$6/'Estatística'!$D$10</f>
        <v>10.65698037</v>
      </c>
      <c r="H1375" s="23">
        <v>45181.0</v>
      </c>
      <c r="I1375" s="24" t="str">
        <f t="shared" si="1"/>
        <v>set.</v>
      </c>
      <c r="O1375" s="8"/>
    </row>
    <row r="1376" ht="15.75" customHeight="1">
      <c r="A1376" s="9">
        <v>74.0</v>
      </c>
      <c r="B1376" s="9" t="s">
        <v>9</v>
      </c>
      <c r="C1376" s="9" t="s">
        <v>124</v>
      </c>
      <c r="D1376" s="10" t="s">
        <v>30</v>
      </c>
      <c r="E1376" s="11" t="s">
        <v>97</v>
      </c>
      <c r="F1376" s="12">
        <v>4.83</v>
      </c>
      <c r="G1376" s="12">
        <f>F1376-'Estatística'!$D$6/'Estatística'!$D$10</f>
        <v>3.826980371</v>
      </c>
      <c r="H1376" s="13">
        <v>45181.0</v>
      </c>
      <c r="I1376" s="14" t="str">
        <f t="shared" si="1"/>
        <v>set.</v>
      </c>
      <c r="O1376" s="8"/>
    </row>
    <row r="1377" ht="15.75" customHeight="1">
      <c r="A1377" s="19">
        <v>38.0</v>
      </c>
      <c r="B1377" s="19" t="s">
        <v>116</v>
      </c>
      <c r="C1377" s="19" t="s">
        <v>117</v>
      </c>
      <c r="D1377" s="20" t="s">
        <v>30</v>
      </c>
      <c r="E1377" s="21" t="s">
        <v>39</v>
      </c>
      <c r="F1377" s="22">
        <v>18.52</v>
      </c>
      <c r="G1377" s="22">
        <f>F1377-'Estatística'!$D$6/'Estatística'!$D$10</f>
        <v>17.51698037</v>
      </c>
      <c r="H1377" s="23">
        <v>45182.0</v>
      </c>
      <c r="I1377" s="24" t="str">
        <f t="shared" si="1"/>
        <v>set.</v>
      </c>
      <c r="O1377" s="8"/>
    </row>
    <row r="1378" ht="15.75" customHeight="1">
      <c r="A1378" s="9">
        <v>6.0</v>
      </c>
      <c r="B1378" s="9" t="s">
        <v>183</v>
      </c>
      <c r="C1378" s="9" t="s">
        <v>184</v>
      </c>
      <c r="D1378" s="10" t="s">
        <v>11</v>
      </c>
      <c r="E1378" s="11" t="s">
        <v>72</v>
      </c>
      <c r="F1378" s="12">
        <v>19.5</v>
      </c>
      <c r="G1378" s="12">
        <f>F1378-'Estatística'!$D$6/'Estatística'!$D$10</f>
        <v>18.49698037</v>
      </c>
      <c r="H1378" s="13">
        <v>45182.0</v>
      </c>
      <c r="I1378" s="14" t="str">
        <f t="shared" si="1"/>
        <v>set.</v>
      </c>
      <c r="O1378" s="8"/>
    </row>
    <row r="1379" ht="15.75" customHeight="1">
      <c r="A1379" s="19">
        <v>56.0</v>
      </c>
      <c r="B1379" s="19" t="s">
        <v>127</v>
      </c>
      <c r="C1379" s="19" t="s">
        <v>128</v>
      </c>
      <c r="D1379" s="20" t="s">
        <v>11</v>
      </c>
      <c r="E1379" s="21" t="s">
        <v>85</v>
      </c>
      <c r="F1379" s="22">
        <v>14.17</v>
      </c>
      <c r="G1379" s="22">
        <f>F1379-'Estatística'!$D$6/'Estatística'!$D$10</f>
        <v>13.16698037</v>
      </c>
      <c r="H1379" s="23">
        <v>45182.0</v>
      </c>
      <c r="I1379" s="24" t="str">
        <f t="shared" si="1"/>
        <v>set.</v>
      </c>
      <c r="O1379" s="8"/>
    </row>
    <row r="1380" ht="15.75" customHeight="1">
      <c r="A1380" s="9">
        <v>21.0</v>
      </c>
      <c r="B1380" s="9" t="s">
        <v>186</v>
      </c>
      <c r="C1380" s="9" t="s">
        <v>187</v>
      </c>
      <c r="D1380" s="10" t="s">
        <v>30</v>
      </c>
      <c r="E1380" s="11" t="s">
        <v>50</v>
      </c>
      <c r="F1380" s="12">
        <v>25.39</v>
      </c>
      <c r="G1380" s="12">
        <f>F1380-'Estatística'!$D$6/'Estatística'!$D$10</f>
        <v>24.38698037</v>
      </c>
      <c r="H1380" s="13">
        <v>45182.0</v>
      </c>
      <c r="I1380" s="14" t="str">
        <f t="shared" si="1"/>
        <v>set.</v>
      </c>
      <c r="O1380" s="8"/>
    </row>
    <row r="1381" ht="15.75" customHeight="1">
      <c r="A1381" s="19">
        <v>20.0</v>
      </c>
      <c r="B1381" s="19" t="s">
        <v>161</v>
      </c>
      <c r="C1381" s="19" t="s">
        <v>162</v>
      </c>
      <c r="D1381" s="20" t="s">
        <v>30</v>
      </c>
      <c r="E1381" s="21" t="s">
        <v>60</v>
      </c>
      <c r="F1381" s="22">
        <v>46.82</v>
      </c>
      <c r="G1381" s="22">
        <f>F1381-'Estatística'!$D$6/'Estatística'!$D$10</f>
        <v>45.81698037</v>
      </c>
      <c r="H1381" s="23">
        <v>45182.0</v>
      </c>
      <c r="I1381" s="24" t="str">
        <f t="shared" si="1"/>
        <v>set.</v>
      </c>
      <c r="O1381" s="8"/>
    </row>
    <row r="1382" ht="15.75" customHeight="1">
      <c r="A1382" s="9">
        <v>19.0</v>
      </c>
      <c r="B1382" s="9" t="s">
        <v>41</v>
      </c>
      <c r="C1382" s="9" t="s">
        <v>193</v>
      </c>
      <c r="D1382" s="10" t="s">
        <v>30</v>
      </c>
      <c r="E1382" s="11" t="s">
        <v>31</v>
      </c>
      <c r="F1382" s="12">
        <v>49.07</v>
      </c>
      <c r="G1382" s="12">
        <f>F1382-'Estatística'!$D$6/'Estatística'!$D$10</f>
        <v>48.06698037</v>
      </c>
      <c r="H1382" s="13">
        <v>45182.0</v>
      </c>
      <c r="I1382" s="14" t="str">
        <f t="shared" si="1"/>
        <v>set.</v>
      </c>
      <c r="O1382" s="8"/>
    </row>
    <row r="1383" ht="15.75" customHeight="1">
      <c r="A1383" s="19">
        <v>82.0</v>
      </c>
      <c r="B1383" s="19" t="s">
        <v>231</v>
      </c>
      <c r="C1383" s="19" t="s">
        <v>232</v>
      </c>
      <c r="D1383" s="20" t="s">
        <v>30</v>
      </c>
      <c r="E1383" s="21" t="s">
        <v>56</v>
      </c>
      <c r="F1383" s="22">
        <v>72.01</v>
      </c>
      <c r="G1383" s="22">
        <f>F1383-'Estatística'!$D$6/'Estatística'!$D$10</f>
        <v>71.00698037</v>
      </c>
      <c r="H1383" s="23">
        <v>45182.0</v>
      </c>
      <c r="I1383" s="24" t="str">
        <f t="shared" si="1"/>
        <v>set.</v>
      </c>
      <c r="O1383" s="8"/>
    </row>
    <row r="1384" ht="15.75" customHeight="1">
      <c r="A1384" s="9">
        <v>93.0</v>
      </c>
      <c r="B1384" s="9" t="s">
        <v>129</v>
      </c>
      <c r="C1384" s="9" t="s">
        <v>130</v>
      </c>
      <c r="D1384" s="10" t="s">
        <v>11</v>
      </c>
      <c r="E1384" s="11" t="s">
        <v>35</v>
      </c>
      <c r="F1384" s="12">
        <v>21.69</v>
      </c>
      <c r="G1384" s="12">
        <f>F1384-'Estatística'!$D$6/'Estatística'!$D$10</f>
        <v>20.68698037</v>
      </c>
      <c r="H1384" s="13">
        <v>45182.0</v>
      </c>
      <c r="I1384" s="14" t="str">
        <f t="shared" si="1"/>
        <v>set.</v>
      </c>
      <c r="O1384" s="8"/>
    </row>
    <row r="1385" ht="15.75" customHeight="1">
      <c r="A1385" s="19">
        <v>79.0</v>
      </c>
      <c r="B1385" s="19" t="s">
        <v>101</v>
      </c>
      <c r="C1385" s="19" t="s">
        <v>102</v>
      </c>
      <c r="D1385" s="20" t="s">
        <v>11</v>
      </c>
      <c r="E1385" s="21" t="s">
        <v>88</v>
      </c>
      <c r="F1385" s="22">
        <v>39.88</v>
      </c>
      <c r="G1385" s="22">
        <f>F1385-'Estatística'!$D$6/'Estatística'!$D$10</f>
        <v>38.87698037</v>
      </c>
      <c r="H1385" s="23">
        <v>45182.0</v>
      </c>
      <c r="I1385" s="24" t="str">
        <f t="shared" si="1"/>
        <v>set.</v>
      </c>
      <c r="O1385" s="8"/>
    </row>
    <row r="1386" ht="15.75" customHeight="1">
      <c r="A1386" s="9">
        <v>43.0</v>
      </c>
      <c r="B1386" s="9" t="s">
        <v>95</v>
      </c>
      <c r="C1386" s="9" t="s">
        <v>96</v>
      </c>
      <c r="D1386" s="10" t="s">
        <v>11</v>
      </c>
      <c r="E1386" s="11" t="s">
        <v>12</v>
      </c>
      <c r="F1386" s="12">
        <v>10.63</v>
      </c>
      <c r="G1386" s="12">
        <f>F1386-'Estatística'!$D$6/'Estatística'!$D$10</f>
        <v>9.626980371</v>
      </c>
      <c r="H1386" s="13">
        <v>45182.0</v>
      </c>
      <c r="I1386" s="14" t="str">
        <f t="shared" si="1"/>
        <v>set.</v>
      </c>
      <c r="O1386" s="8"/>
    </row>
    <row r="1387" ht="15.75" customHeight="1">
      <c r="A1387" s="19">
        <v>30.0</v>
      </c>
      <c r="B1387" s="19" t="s">
        <v>9</v>
      </c>
      <c r="C1387" s="19" t="s">
        <v>10</v>
      </c>
      <c r="D1387" s="20" t="s">
        <v>30</v>
      </c>
      <c r="E1387" s="21" t="s">
        <v>82</v>
      </c>
      <c r="F1387" s="22">
        <v>13.0</v>
      </c>
      <c r="G1387" s="22">
        <f>F1387-'Estatística'!$D$6/'Estatística'!$D$10</f>
        <v>11.99698037</v>
      </c>
      <c r="H1387" s="23">
        <v>45183.0</v>
      </c>
      <c r="I1387" s="24" t="str">
        <f t="shared" si="1"/>
        <v>set.</v>
      </c>
      <c r="O1387" s="8"/>
    </row>
    <row r="1388" ht="15.75" customHeight="1">
      <c r="A1388" s="9">
        <v>55.0</v>
      </c>
      <c r="B1388" s="9" t="s">
        <v>202</v>
      </c>
      <c r="C1388" s="9" t="s">
        <v>203</v>
      </c>
      <c r="D1388" s="10" t="s">
        <v>11</v>
      </c>
      <c r="E1388" s="11" t="s">
        <v>76</v>
      </c>
      <c r="F1388" s="12">
        <v>12.6</v>
      </c>
      <c r="G1388" s="12">
        <f>F1388-'Estatística'!$D$6/'Estatística'!$D$10</f>
        <v>11.59698037</v>
      </c>
      <c r="H1388" s="13">
        <v>45183.0</v>
      </c>
      <c r="I1388" s="14" t="str">
        <f t="shared" si="1"/>
        <v>set.</v>
      </c>
      <c r="O1388" s="8"/>
    </row>
    <row r="1389" ht="15.75" customHeight="1">
      <c r="A1389" s="19">
        <v>22.0</v>
      </c>
      <c r="B1389" s="19" t="s">
        <v>131</v>
      </c>
      <c r="C1389" s="19" t="s">
        <v>132</v>
      </c>
      <c r="D1389" s="20" t="s">
        <v>11</v>
      </c>
      <c r="E1389" s="21" t="s">
        <v>97</v>
      </c>
      <c r="F1389" s="22">
        <v>2.59</v>
      </c>
      <c r="G1389" s="22">
        <f>F1389-'Estatística'!$D$6/'Estatística'!$D$10</f>
        <v>1.586980371</v>
      </c>
      <c r="H1389" s="23">
        <v>45183.0</v>
      </c>
      <c r="I1389" s="24" t="str">
        <f t="shared" si="1"/>
        <v>set.</v>
      </c>
      <c r="O1389" s="8"/>
    </row>
    <row r="1390" ht="15.75" customHeight="1">
      <c r="A1390" s="9">
        <v>9.0</v>
      </c>
      <c r="B1390" s="9" t="s">
        <v>207</v>
      </c>
      <c r="C1390" s="9" t="s">
        <v>208</v>
      </c>
      <c r="D1390" s="10" t="s">
        <v>30</v>
      </c>
      <c r="E1390" s="11" t="s">
        <v>76</v>
      </c>
      <c r="F1390" s="12">
        <v>11.01</v>
      </c>
      <c r="G1390" s="12">
        <f>F1390-'Estatística'!$D$6/'Estatística'!$D$10</f>
        <v>10.00698037</v>
      </c>
      <c r="H1390" s="13">
        <v>45183.0</v>
      </c>
      <c r="I1390" s="14" t="str">
        <f t="shared" si="1"/>
        <v>set.</v>
      </c>
      <c r="O1390" s="8"/>
    </row>
    <row r="1391" ht="15.75" customHeight="1">
      <c r="A1391" s="19">
        <v>42.0</v>
      </c>
      <c r="B1391" s="19" t="s">
        <v>92</v>
      </c>
      <c r="C1391" s="19" t="s">
        <v>170</v>
      </c>
      <c r="D1391" s="20" t="s">
        <v>11</v>
      </c>
      <c r="E1391" s="21" t="s">
        <v>76</v>
      </c>
      <c r="F1391" s="22">
        <v>12.31</v>
      </c>
      <c r="G1391" s="22">
        <f>F1391-'Estatística'!$D$6/'Estatística'!$D$10</f>
        <v>11.30698037</v>
      </c>
      <c r="H1391" s="23">
        <v>45183.0</v>
      </c>
      <c r="I1391" s="24" t="str">
        <f t="shared" si="1"/>
        <v>set.</v>
      </c>
      <c r="O1391" s="8"/>
    </row>
    <row r="1392" ht="15.75" customHeight="1">
      <c r="A1392" s="9">
        <v>32.0</v>
      </c>
      <c r="B1392" s="9" t="s">
        <v>146</v>
      </c>
      <c r="C1392" s="9" t="s">
        <v>147</v>
      </c>
      <c r="D1392" s="10" t="s">
        <v>11</v>
      </c>
      <c r="E1392" s="11" t="s">
        <v>12</v>
      </c>
      <c r="F1392" s="12">
        <v>10.16</v>
      </c>
      <c r="G1392" s="12">
        <f>F1392-'Estatística'!$D$6/'Estatística'!$D$10</f>
        <v>9.156980371</v>
      </c>
      <c r="H1392" s="13">
        <v>45183.0</v>
      </c>
      <c r="I1392" s="14" t="str">
        <f t="shared" si="1"/>
        <v>set.</v>
      </c>
      <c r="O1392" s="8"/>
    </row>
    <row r="1393" ht="15.75" customHeight="1">
      <c r="A1393" s="19">
        <v>76.0</v>
      </c>
      <c r="B1393" s="19" t="s">
        <v>213</v>
      </c>
      <c r="C1393" s="19" t="s">
        <v>214</v>
      </c>
      <c r="D1393" s="20" t="s">
        <v>11</v>
      </c>
      <c r="E1393" s="21" t="s">
        <v>35</v>
      </c>
      <c r="F1393" s="22">
        <v>13.23</v>
      </c>
      <c r="G1393" s="22">
        <f>F1393-'Estatística'!$D$6/'Estatística'!$D$10</f>
        <v>12.22698037</v>
      </c>
      <c r="H1393" s="23">
        <v>45184.0</v>
      </c>
      <c r="I1393" s="24" t="str">
        <f t="shared" si="1"/>
        <v>set.</v>
      </c>
      <c r="O1393" s="8"/>
    </row>
    <row r="1394" ht="15.75" customHeight="1">
      <c r="A1394" s="9">
        <v>40.0</v>
      </c>
      <c r="B1394" s="9" t="s">
        <v>122</v>
      </c>
      <c r="C1394" s="9" t="s">
        <v>185</v>
      </c>
      <c r="D1394" s="10" t="s">
        <v>30</v>
      </c>
      <c r="E1394" s="11" t="s">
        <v>82</v>
      </c>
      <c r="F1394" s="12">
        <v>12.84</v>
      </c>
      <c r="G1394" s="12">
        <f>F1394-'Estatística'!$D$6/'Estatística'!$D$10</f>
        <v>11.83698037</v>
      </c>
      <c r="H1394" s="13">
        <v>45184.0</v>
      </c>
      <c r="I1394" s="14" t="str">
        <f t="shared" si="1"/>
        <v>set.</v>
      </c>
      <c r="O1394" s="8"/>
    </row>
    <row r="1395" ht="15.75" customHeight="1">
      <c r="A1395" s="19">
        <v>90.0</v>
      </c>
      <c r="B1395" s="19" t="s">
        <v>219</v>
      </c>
      <c r="C1395" s="19" t="s">
        <v>220</v>
      </c>
      <c r="D1395" s="20" t="s">
        <v>30</v>
      </c>
      <c r="E1395" s="21" t="s">
        <v>68</v>
      </c>
      <c r="F1395" s="22">
        <v>9.52</v>
      </c>
      <c r="G1395" s="22">
        <f>F1395-'Estatística'!$D$6/'Estatística'!$D$10</f>
        <v>8.516980371</v>
      </c>
      <c r="H1395" s="23">
        <v>45184.0</v>
      </c>
      <c r="I1395" s="24" t="str">
        <f t="shared" si="1"/>
        <v>set.</v>
      </c>
      <c r="O1395" s="8"/>
    </row>
    <row r="1396" ht="15.75" customHeight="1">
      <c r="A1396" s="9">
        <v>58.0</v>
      </c>
      <c r="B1396" s="9" t="s">
        <v>165</v>
      </c>
      <c r="C1396" s="9" t="s">
        <v>166</v>
      </c>
      <c r="D1396" s="10" t="s">
        <v>11</v>
      </c>
      <c r="E1396" s="11" t="s">
        <v>35</v>
      </c>
      <c r="F1396" s="12">
        <v>20.35</v>
      </c>
      <c r="G1396" s="12">
        <f>F1396-'Estatística'!$D$6/'Estatística'!$D$10</f>
        <v>19.34698037</v>
      </c>
      <c r="H1396" s="13">
        <v>45184.0</v>
      </c>
      <c r="I1396" s="14" t="str">
        <f t="shared" si="1"/>
        <v>set.</v>
      </c>
      <c r="O1396" s="8"/>
    </row>
    <row r="1397" ht="15.75" customHeight="1">
      <c r="A1397" s="19">
        <v>36.0</v>
      </c>
      <c r="B1397" s="19" t="s">
        <v>92</v>
      </c>
      <c r="C1397" s="19" t="s">
        <v>93</v>
      </c>
      <c r="D1397" s="20" t="s">
        <v>30</v>
      </c>
      <c r="E1397" s="21" t="s">
        <v>60</v>
      </c>
      <c r="F1397" s="22">
        <v>58.54</v>
      </c>
      <c r="G1397" s="22">
        <f>F1397-'Estatística'!$D$6/'Estatística'!$D$10</f>
        <v>57.53698037</v>
      </c>
      <c r="H1397" s="23">
        <v>45184.0</v>
      </c>
      <c r="I1397" s="24" t="str">
        <f t="shared" si="1"/>
        <v>set.</v>
      </c>
      <c r="O1397" s="8"/>
    </row>
    <row r="1398" ht="15.75" customHeight="1">
      <c r="A1398" s="9">
        <v>54.0</v>
      </c>
      <c r="B1398" s="9" t="s">
        <v>86</v>
      </c>
      <c r="C1398" s="9" t="s">
        <v>87</v>
      </c>
      <c r="D1398" s="10" t="s">
        <v>11</v>
      </c>
      <c r="E1398" s="11" t="s">
        <v>68</v>
      </c>
      <c r="F1398" s="12">
        <v>9.29</v>
      </c>
      <c r="G1398" s="12">
        <f>F1398-'Estatística'!$D$6/'Estatística'!$D$10</f>
        <v>8.286980371</v>
      </c>
      <c r="H1398" s="13">
        <v>45184.0</v>
      </c>
      <c r="I1398" s="14" t="str">
        <f t="shared" si="1"/>
        <v>set.</v>
      </c>
      <c r="O1398" s="8"/>
    </row>
    <row r="1399" ht="15.75" customHeight="1">
      <c r="A1399" s="19">
        <v>12.0</v>
      </c>
      <c r="B1399" s="19" t="s">
        <v>188</v>
      </c>
      <c r="C1399" s="19" t="s">
        <v>189</v>
      </c>
      <c r="D1399" s="20" t="s">
        <v>11</v>
      </c>
      <c r="E1399" s="21" t="s">
        <v>52</v>
      </c>
      <c r="F1399" s="22">
        <v>51.5</v>
      </c>
      <c r="G1399" s="22">
        <f>F1399-'Estatística'!$D$6/'Estatística'!$D$10</f>
        <v>50.49698037</v>
      </c>
      <c r="H1399" s="23">
        <v>45184.0</v>
      </c>
      <c r="I1399" s="24" t="str">
        <f t="shared" si="1"/>
        <v>set.</v>
      </c>
      <c r="O1399" s="8"/>
    </row>
    <row r="1400" ht="15.75" customHeight="1">
      <c r="A1400" s="9">
        <v>5.0</v>
      </c>
      <c r="B1400" s="9" t="s">
        <v>167</v>
      </c>
      <c r="C1400" s="9" t="s">
        <v>168</v>
      </c>
      <c r="D1400" s="10" t="s">
        <v>30</v>
      </c>
      <c r="E1400" s="11" t="s">
        <v>91</v>
      </c>
      <c r="F1400" s="12">
        <v>4.36</v>
      </c>
      <c r="G1400" s="12">
        <f>F1400-'Estatística'!$D$6/'Estatística'!$D$10</f>
        <v>3.356980371</v>
      </c>
      <c r="H1400" s="13">
        <v>45184.0</v>
      </c>
      <c r="I1400" s="14" t="str">
        <f t="shared" si="1"/>
        <v>set.</v>
      </c>
      <c r="O1400" s="8"/>
    </row>
    <row r="1401" ht="15.75" customHeight="1">
      <c r="A1401" s="19">
        <v>28.0</v>
      </c>
      <c r="B1401" s="19" t="s">
        <v>77</v>
      </c>
      <c r="C1401" s="19" t="s">
        <v>78</v>
      </c>
      <c r="D1401" s="20" t="s">
        <v>11</v>
      </c>
      <c r="E1401" s="21" t="s">
        <v>88</v>
      </c>
      <c r="F1401" s="22">
        <v>37.14</v>
      </c>
      <c r="G1401" s="22">
        <f>F1401-'Estatística'!$D$6/'Estatística'!$D$10</f>
        <v>36.13698037</v>
      </c>
      <c r="H1401" s="23">
        <v>45184.0</v>
      </c>
      <c r="I1401" s="24" t="str">
        <f t="shared" si="1"/>
        <v>set.</v>
      </c>
      <c r="O1401" s="8"/>
    </row>
    <row r="1402" ht="15.75" customHeight="1">
      <c r="A1402" s="9">
        <v>11.0</v>
      </c>
      <c r="B1402" s="9" t="s">
        <v>227</v>
      </c>
      <c r="C1402" s="9" t="s">
        <v>228</v>
      </c>
      <c r="D1402" s="10" t="s">
        <v>11</v>
      </c>
      <c r="E1402" s="11" t="s">
        <v>88</v>
      </c>
      <c r="F1402" s="12">
        <v>31.58</v>
      </c>
      <c r="G1402" s="12">
        <f>F1402-'Estatística'!$D$6/'Estatística'!$D$10</f>
        <v>30.57698037</v>
      </c>
      <c r="H1402" s="13">
        <v>45185.0</v>
      </c>
      <c r="I1402" s="14" t="str">
        <f t="shared" si="1"/>
        <v>set.</v>
      </c>
      <c r="O1402" s="8"/>
    </row>
    <row r="1403" ht="15.75" customHeight="1">
      <c r="A1403" s="19">
        <v>23.0</v>
      </c>
      <c r="B1403" s="19" t="s">
        <v>235</v>
      </c>
      <c r="C1403" s="19" t="s">
        <v>236</v>
      </c>
      <c r="D1403" s="20" t="s">
        <v>30</v>
      </c>
      <c r="E1403" s="21" t="s">
        <v>82</v>
      </c>
      <c r="F1403" s="22">
        <v>10.68</v>
      </c>
      <c r="G1403" s="22">
        <f>F1403-'Estatística'!$D$6/'Estatística'!$D$10</f>
        <v>9.676980371</v>
      </c>
      <c r="H1403" s="23">
        <v>45185.0</v>
      </c>
      <c r="I1403" s="24" t="str">
        <f t="shared" si="1"/>
        <v>set.</v>
      </c>
      <c r="O1403" s="8"/>
    </row>
    <row r="1404" ht="15.75" customHeight="1">
      <c r="A1404" s="9">
        <v>44.0</v>
      </c>
      <c r="B1404" s="9" t="s">
        <v>215</v>
      </c>
      <c r="C1404" s="9" t="s">
        <v>216</v>
      </c>
      <c r="D1404" s="10" t="s">
        <v>30</v>
      </c>
      <c r="E1404" s="11" t="s">
        <v>85</v>
      </c>
      <c r="F1404" s="12">
        <v>13.66</v>
      </c>
      <c r="G1404" s="12">
        <f>F1404-'Estatística'!$D$6/'Estatística'!$D$10</f>
        <v>12.65698037</v>
      </c>
      <c r="H1404" s="13">
        <v>45185.0</v>
      </c>
      <c r="I1404" s="14" t="str">
        <f t="shared" si="1"/>
        <v>set.</v>
      </c>
      <c r="O1404" s="8"/>
    </row>
    <row r="1405" ht="15.75" customHeight="1">
      <c r="A1405" s="19">
        <v>82.0</v>
      </c>
      <c r="B1405" s="19" t="s">
        <v>231</v>
      </c>
      <c r="C1405" s="19" t="s">
        <v>232</v>
      </c>
      <c r="D1405" s="20" t="s">
        <v>30</v>
      </c>
      <c r="E1405" s="21" t="s">
        <v>39</v>
      </c>
      <c r="F1405" s="22">
        <v>32.27</v>
      </c>
      <c r="G1405" s="22">
        <f>F1405-'Estatística'!$D$6/'Estatística'!$D$10</f>
        <v>31.26698037</v>
      </c>
      <c r="H1405" s="23">
        <v>45186.0</v>
      </c>
      <c r="I1405" s="24" t="str">
        <f t="shared" si="1"/>
        <v>set.</v>
      </c>
      <c r="O1405" s="8"/>
    </row>
    <row r="1406" ht="15.75" customHeight="1">
      <c r="A1406" s="9">
        <v>14.0</v>
      </c>
      <c r="B1406" s="9" t="s">
        <v>171</v>
      </c>
      <c r="C1406" s="9" t="s">
        <v>172</v>
      </c>
      <c r="D1406" s="10" t="s">
        <v>11</v>
      </c>
      <c r="E1406" s="11" t="s">
        <v>39</v>
      </c>
      <c r="F1406" s="12">
        <v>42.86</v>
      </c>
      <c r="G1406" s="12">
        <f>F1406-'Estatística'!$D$6/'Estatística'!$D$10</f>
        <v>41.85698037</v>
      </c>
      <c r="H1406" s="13">
        <v>45186.0</v>
      </c>
      <c r="I1406" s="14" t="str">
        <f t="shared" si="1"/>
        <v>set.</v>
      </c>
      <c r="O1406" s="8"/>
    </row>
    <row r="1407" ht="15.75" customHeight="1">
      <c r="A1407" s="19">
        <v>23.0</v>
      </c>
      <c r="B1407" s="19" t="s">
        <v>235</v>
      </c>
      <c r="C1407" s="19" t="s">
        <v>236</v>
      </c>
      <c r="D1407" s="20" t="s">
        <v>30</v>
      </c>
      <c r="E1407" s="21" t="s">
        <v>12</v>
      </c>
      <c r="F1407" s="22">
        <v>10.56</v>
      </c>
      <c r="G1407" s="22">
        <f>F1407-'Estatística'!$D$6/'Estatística'!$D$10</f>
        <v>9.556980371</v>
      </c>
      <c r="H1407" s="23">
        <v>45186.0</v>
      </c>
      <c r="I1407" s="24" t="str">
        <f t="shared" si="1"/>
        <v>set.</v>
      </c>
      <c r="O1407" s="8"/>
    </row>
    <row r="1408" ht="15.75" customHeight="1">
      <c r="A1408" s="9">
        <v>33.0</v>
      </c>
      <c r="B1408" s="9" t="s">
        <v>191</v>
      </c>
      <c r="C1408" s="9" t="s">
        <v>192</v>
      </c>
      <c r="D1408" s="10" t="s">
        <v>11</v>
      </c>
      <c r="E1408" s="11" t="s">
        <v>97</v>
      </c>
      <c r="F1408" s="12">
        <v>4.54</v>
      </c>
      <c r="G1408" s="12">
        <f>F1408-'Estatística'!$D$6/'Estatística'!$D$10</f>
        <v>3.536980371</v>
      </c>
      <c r="H1408" s="13">
        <v>45186.0</v>
      </c>
      <c r="I1408" s="14" t="str">
        <f t="shared" si="1"/>
        <v>set.</v>
      </c>
      <c r="O1408" s="8"/>
    </row>
    <row r="1409" ht="15.75" customHeight="1">
      <c r="A1409" s="19">
        <v>34.0</v>
      </c>
      <c r="B1409" s="19" t="s">
        <v>177</v>
      </c>
      <c r="C1409" s="19" t="s">
        <v>178</v>
      </c>
      <c r="D1409" s="20" t="s">
        <v>30</v>
      </c>
      <c r="E1409" s="21" t="s">
        <v>50</v>
      </c>
      <c r="F1409" s="22">
        <v>22.06</v>
      </c>
      <c r="G1409" s="22">
        <f>F1409-'Estatística'!$D$6/'Estatística'!$D$10</f>
        <v>21.05698037</v>
      </c>
      <c r="H1409" s="23">
        <v>45186.0</v>
      </c>
      <c r="I1409" s="24" t="str">
        <f t="shared" si="1"/>
        <v>set.</v>
      </c>
      <c r="O1409" s="8"/>
    </row>
    <row r="1410" ht="15.75" customHeight="1">
      <c r="A1410" s="9">
        <v>8.0</v>
      </c>
      <c r="B1410" s="9" t="s">
        <v>108</v>
      </c>
      <c r="C1410" s="9" t="s">
        <v>109</v>
      </c>
      <c r="D1410" s="10" t="s">
        <v>30</v>
      </c>
      <c r="E1410" s="11" t="s">
        <v>35</v>
      </c>
      <c r="F1410" s="12">
        <v>16.38</v>
      </c>
      <c r="G1410" s="12">
        <f>F1410-'Estatística'!$D$6/'Estatística'!$D$10</f>
        <v>15.37698037</v>
      </c>
      <c r="H1410" s="13">
        <v>45186.0</v>
      </c>
      <c r="I1410" s="14" t="str">
        <f t="shared" si="1"/>
        <v>set.</v>
      </c>
      <c r="O1410" s="8"/>
    </row>
    <row r="1411" ht="15.75" customHeight="1">
      <c r="A1411" s="19">
        <v>55.0</v>
      </c>
      <c r="B1411" s="19" t="s">
        <v>202</v>
      </c>
      <c r="C1411" s="19" t="s">
        <v>203</v>
      </c>
      <c r="D1411" s="20" t="s">
        <v>30</v>
      </c>
      <c r="E1411" s="21" t="s">
        <v>56</v>
      </c>
      <c r="F1411" s="22">
        <v>77.94</v>
      </c>
      <c r="G1411" s="22">
        <f>F1411-'Estatística'!$D$6/'Estatística'!$D$10</f>
        <v>76.93698037</v>
      </c>
      <c r="H1411" s="23">
        <v>45186.0</v>
      </c>
      <c r="I1411" s="24" t="str">
        <f t="shared" si="1"/>
        <v>set.</v>
      </c>
      <c r="O1411" s="8"/>
    </row>
    <row r="1412" ht="15.75" customHeight="1">
      <c r="A1412" s="9">
        <v>74.0</v>
      </c>
      <c r="B1412" s="9" t="s">
        <v>9</v>
      </c>
      <c r="C1412" s="9" t="s">
        <v>124</v>
      </c>
      <c r="D1412" s="10" t="s">
        <v>11</v>
      </c>
      <c r="E1412" s="11" t="s">
        <v>97</v>
      </c>
      <c r="F1412" s="12">
        <v>3.7</v>
      </c>
      <c r="G1412" s="12">
        <f>F1412-'Estatística'!$D$6/'Estatística'!$D$10</f>
        <v>2.696980371</v>
      </c>
      <c r="H1412" s="13">
        <v>45186.0</v>
      </c>
      <c r="I1412" s="14" t="str">
        <f t="shared" si="1"/>
        <v>set.</v>
      </c>
      <c r="O1412" s="8"/>
    </row>
    <row r="1413" ht="15.75" customHeight="1">
      <c r="A1413" s="19">
        <v>11.0</v>
      </c>
      <c r="B1413" s="19" t="s">
        <v>227</v>
      </c>
      <c r="C1413" s="19" t="s">
        <v>228</v>
      </c>
      <c r="D1413" s="20" t="s">
        <v>30</v>
      </c>
      <c r="E1413" s="21" t="s">
        <v>50</v>
      </c>
      <c r="F1413" s="22">
        <v>23.17</v>
      </c>
      <c r="G1413" s="22">
        <f>F1413-'Estatística'!$D$6/'Estatística'!$D$10</f>
        <v>22.16698037</v>
      </c>
      <c r="H1413" s="23">
        <v>45187.0</v>
      </c>
      <c r="I1413" s="24" t="str">
        <f t="shared" si="1"/>
        <v>set.</v>
      </c>
      <c r="O1413" s="8"/>
    </row>
    <row r="1414" ht="15.75" customHeight="1">
      <c r="A1414" s="9">
        <v>5.0</v>
      </c>
      <c r="B1414" s="9" t="s">
        <v>167</v>
      </c>
      <c r="C1414" s="9" t="s">
        <v>168</v>
      </c>
      <c r="D1414" s="10" t="s">
        <v>30</v>
      </c>
      <c r="E1414" s="11" t="s">
        <v>31</v>
      </c>
      <c r="F1414" s="12">
        <v>55.15</v>
      </c>
      <c r="G1414" s="12">
        <f>F1414-'Estatística'!$D$6/'Estatística'!$D$10</f>
        <v>54.14698037</v>
      </c>
      <c r="H1414" s="13">
        <v>45187.0</v>
      </c>
      <c r="I1414" s="14" t="str">
        <f t="shared" si="1"/>
        <v>set.</v>
      </c>
      <c r="O1414" s="8"/>
    </row>
    <row r="1415" ht="15.75" customHeight="1">
      <c r="A1415" s="19">
        <v>77.0</v>
      </c>
      <c r="B1415" s="19" t="s">
        <v>9</v>
      </c>
      <c r="C1415" s="19" t="s">
        <v>169</v>
      </c>
      <c r="D1415" s="20" t="s">
        <v>30</v>
      </c>
      <c r="E1415" s="21" t="s">
        <v>43</v>
      </c>
      <c r="F1415" s="22">
        <v>16.77</v>
      </c>
      <c r="G1415" s="22">
        <f>F1415-'Estatística'!$D$6/'Estatística'!$D$10</f>
        <v>15.76698037</v>
      </c>
      <c r="H1415" s="23">
        <v>45187.0</v>
      </c>
      <c r="I1415" s="24" t="str">
        <f t="shared" si="1"/>
        <v>set.</v>
      </c>
      <c r="O1415" s="8"/>
    </row>
    <row r="1416" ht="15.75" customHeight="1">
      <c r="A1416" s="9">
        <v>47.0</v>
      </c>
      <c r="B1416" s="9" t="s">
        <v>120</v>
      </c>
      <c r="C1416" s="9" t="s">
        <v>121</v>
      </c>
      <c r="D1416" s="10" t="s">
        <v>11</v>
      </c>
      <c r="E1416" s="11" t="s">
        <v>91</v>
      </c>
      <c r="F1416" s="12">
        <v>3.6</v>
      </c>
      <c r="G1416" s="12">
        <f>F1416-'Estatística'!$D$6/'Estatística'!$D$10</f>
        <v>2.596980371</v>
      </c>
      <c r="H1416" s="13">
        <v>45187.0</v>
      </c>
      <c r="I1416" s="14" t="str">
        <f t="shared" si="1"/>
        <v>set.</v>
      </c>
      <c r="O1416" s="8"/>
    </row>
    <row r="1417" ht="15.75" customHeight="1">
      <c r="A1417" s="19">
        <v>99.0</v>
      </c>
      <c r="B1417" s="19" t="s">
        <v>73</v>
      </c>
      <c r="C1417" s="19" t="s">
        <v>74</v>
      </c>
      <c r="D1417" s="20" t="s">
        <v>11</v>
      </c>
      <c r="E1417" s="21" t="s">
        <v>88</v>
      </c>
      <c r="F1417" s="22">
        <v>37.34</v>
      </c>
      <c r="G1417" s="22">
        <f>F1417-'Estatística'!$D$6/'Estatística'!$D$10</f>
        <v>36.33698037</v>
      </c>
      <c r="H1417" s="23">
        <v>45187.0</v>
      </c>
      <c r="I1417" s="24" t="str">
        <f t="shared" si="1"/>
        <v>set.</v>
      </c>
      <c r="O1417" s="8"/>
    </row>
    <row r="1418" ht="15.75" customHeight="1">
      <c r="A1418" s="9">
        <v>32.0</v>
      </c>
      <c r="B1418" s="9" t="s">
        <v>146</v>
      </c>
      <c r="C1418" s="9" t="s">
        <v>147</v>
      </c>
      <c r="D1418" s="10" t="s">
        <v>30</v>
      </c>
      <c r="E1418" s="11" t="s">
        <v>43</v>
      </c>
      <c r="F1418" s="12">
        <v>15.62</v>
      </c>
      <c r="G1418" s="12">
        <f>F1418-'Estatística'!$D$6/'Estatística'!$D$10</f>
        <v>14.61698037</v>
      </c>
      <c r="H1418" s="13">
        <v>45187.0</v>
      </c>
      <c r="I1418" s="14" t="str">
        <f t="shared" si="1"/>
        <v>set.</v>
      </c>
      <c r="O1418" s="8"/>
    </row>
    <row r="1419" ht="15.75" customHeight="1">
      <c r="A1419" s="19">
        <v>53.0</v>
      </c>
      <c r="B1419" s="19" t="s">
        <v>241</v>
      </c>
      <c r="C1419" s="19" t="s">
        <v>242</v>
      </c>
      <c r="D1419" s="20" t="s">
        <v>11</v>
      </c>
      <c r="E1419" s="21" t="s">
        <v>97</v>
      </c>
      <c r="F1419" s="22">
        <v>5.41</v>
      </c>
      <c r="G1419" s="22">
        <f>F1419-'Estatística'!$D$6/'Estatística'!$D$10</f>
        <v>4.406980371</v>
      </c>
      <c r="H1419" s="23">
        <v>45187.0</v>
      </c>
      <c r="I1419" s="24" t="str">
        <f t="shared" si="1"/>
        <v>set.</v>
      </c>
      <c r="O1419" s="8"/>
    </row>
    <row r="1420" ht="15.75" customHeight="1">
      <c r="A1420" s="9">
        <v>34.0</v>
      </c>
      <c r="B1420" s="9" t="s">
        <v>177</v>
      </c>
      <c r="C1420" s="9" t="s">
        <v>178</v>
      </c>
      <c r="D1420" s="10" t="s">
        <v>30</v>
      </c>
      <c r="E1420" s="11" t="s">
        <v>39</v>
      </c>
      <c r="F1420" s="12">
        <v>39.19</v>
      </c>
      <c r="G1420" s="12">
        <f>F1420-'Estatística'!$D$6/'Estatística'!$D$10</f>
        <v>38.18698037</v>
      </c>
      <c r="H1420" s="13">
        <v>45187.0</v>
      </c>
      <c r="I1420" s="14" t="str">
        <f t="shared" si="1"/>
        <v>set.</v>
      </c>
      <c r="O1420" s="8"/>
    </row>
    <row r="1421" ht="15.75" customHeight="1">
      <c r="A1421" s="19">
        <v>7.0</v>
      </c>
      <c r="B1421" s="19" t="s">
        <v>114</v>
      </c>
      <c r="C1421" s="19" t="s">
        <v>115</v>
      </c>
      <c r="D1421" s="20" t="s">
        <v>30</v>
      </c>
      <c r="E1421" s="21" t="s">
        <v>39</v>
      </c>
      <c r="F1421" s="22">
        <v>21.9</v>
      </c>
      <c r="G1421" s="22">
        <f>F1421-'Estatística'!$D$6/'Estatística'!$D$10</f>
        <v>20.89698037</v>
      </c>
      <c r="H1421" s="23">
        <v>45188.0</v>
      </c>
      <c r="I1421" s="24" t="str">
        <f t="shared" si="1"/>
        <v>set.</v>
      </c>
      <c r="O1421" s="8"/>
    </row>
    <row r="1422" ht="15.75" customHeight="1">
      <c r="A1422" s="9">
        <v>54.0</v>
      </c>
      <c r="B1422" s="9" t="s">
        <v>86</v>
      </c>
      <c r="C1422" s="9" t="s">
        <v>87</v>
      </c>
      <c r="D1422" s="10" t="s">
        <v>30</v>
      </c>
      <c r="E1422" s="11" t="s">
        <v>68</v>
      </c>
      <c r="F1422" s="12">
        <v>14.44</v>
      </c>
      <c r="G1422" s="12">
        <f>F1422-'Estatística'!$D$6/'Estatística'!$D$10</f>
        <v>13.43698037</v>
      </c>
      <c r="H1422" s="13">
        <v>45188.0</v>
      </c>
      <c r="I1422" s="14" t="str">
        <f t="shared" si="1"/>
        <v>set.</v>
      </c>
      <c r="O1422" s="8"/>
    </row>
    <row r="1423" ht="15.75" customHeight="1">
      <c r="A1423" s="19">
        <v>43.0</v>
      </c>
      <c r="B1423" s="19" t="s">
        <v>95</v>
      </c>
      <c r="C1423" s="19" t="s">
        <v>96</v>
      </c>
      <c r="D1423" s="20" t="s">
        <v>11</v>
      </c>
      <c r="E1423" s="21" t="s">
        <v>97</v>
      </c>
      <c r="F1423" s="22">
        <v>2.83</v>
      </c>
      <c r="G1423" s="22">
        <f>F1423-'Estatística'!$D$6/'Estatística'!$D$10</f>
        <v>1.826980371</v>
      </c>
      <c r="H1423" s="23">
        <v>45188.0</v>
      </c>
      <c r="I1423" s="24" t="str">
        <f t="shared" si="1"/>
        <v>set.</v>
      </c>
      <c r="O1423" s="8"/>
    </row>
    <row r="1424" ht="15.75" customHeight="1">
      <c r="A1424" s="9">
        <v>84.0</v>
      </c>
      <c r="B1424" s="9" t="s">
        <v>141</v>
      </c>
      <c r="C1424" s="9" t="s">
        <v>142</v>
      </c>
      <c r="D1424" s="10" t="s">
        <v>30</v>
      </c>
      <c r="E1424" s="11" t="s">
        <v>97</v>
      </c>
      <c r="F1424" s="12">
        <v>5.3</v>
      </c>
      <c r="G1424" s="12">
        <f>F1424-'Estatística'!$D$6/'Estatística'!$D$10</f>
        <v>4.296980371</v>
      </c>
      <c r="H1424" s="13">
        <v>45188.0</v>
      </c>
      <c r="I1424" s="14" t="str">
        <f t="shared" si="1"/>
        <v>set.</v>
      </c>
      <c r="O1424" s="8"/>
    </row>
    <row r="1425" ht="15.75" customHeight="1">
      <c r="A1425" s="19">
        <v>69.0</v>
      </c>
      <c r="B1425" s="19" t="s">
        <v>108</v>
      </c>
      <c r="C1425" s="19" t="s">
        <v>145</v>
      </c>
      <c r="D1425" s="20" t="s">
        <v>30</v>
      </c>
      <c r="E1425" s="21" t="s">
        <v>79</v>
      </c>
      <c r="F1425" s="22">
        <v>34.61</v>
      </c>
      <c r="G1425" s="22">
        <f>F1425-'Estatística'!$D$6/'Estatística'!$D$10</f>
        <v>33.60698037</v>
      </c>
      <c r="H1425" s="23">
        <v>45188.0</v>
      </c>
      <c r="I1425" s="24" t="str">
        <f t="shared" si="1"/>
        <v>set.</v>
      </c>
      <c r="O1425" s="8"/>
    </row>
    <row r="1426" ht="15.75" customHeight="1">
      <c r="A1426" s="9">
        <v>31.0</v>
      </c>
      <c r="B1426" s="9" t="s">
        <v>229</v>
      </c>
      <c r="C1426" s="9" t="s">
        <v>230</v>
      </c>
      <c r="D1426" s="10" t="s">
        <v>30</v>
      </c>
      <c r="E1426" s="11" t="s">
        <v>52</v>
      </c>
      <c r="F1426" s="12">
        <v>47.73</v>
      </c>
      <c r="G1426" s="12">
        <f>F1426-'Estatística'!$D$6/'Estatística'!$D$10</f>
        <v>46.72698037</v>
      </c>
      <c r="H1426" s="13">
        <v>45188.0</v>
      </c>
      <c r="I1426" s="14" t="str">
        <f t="shared" si="1"/>
        <v>set.</v>
      </c>
      <c r="O1426" s="8"/>
    </row>
    <row r="1427" ht="15.75" customHeight="1">
      <c r="A1427" s="19">
        <v>3.0</v>
      </c>
      <c r="B1427" s="19" t="s">
        <v>80</v>
      </c>
      <c r="C1427" s="19" t="s">
        <v>81</v>
      </c>
      <c r="D1427" s="20" t="s">
        <v>30</v>
      </c>
      <c r="E1427" s="21" t="s">
        <v>88</v>
      </c>
      <c r="F1427" s="22">
        <v>34.47</v>
      </c>
      <c r="G1427" s="22">
        <f>F1427-'Estatística'!$D$6/'Estatística'!$D$10</f>
        <v>33.46698037</v>
      </c>
      <c r="H1427" s="23">
        <v>45188.0</v>
      </c>
      <c r="I1427" s="24" t="str">
        <f t="shared" si="1"/>
        <v>set.</v>
      </c>
      <c r="O1427" s="8"/>
    </row>
    <row r="1428" ht="15.75" customHeight="1">
      <c r="A1428" s="9">
        <v>78.0</v>
      </c>
      <c r="B1428" s="9" t="s">
        <v>28</v>
      </c>
      <c r="C1428" s="9" t="s">
        <v>29</v>
      </c>
      <c r="D1428" s="10" t="s">
        <v>11</v>
      </c>
      <c r="E1428" s="11" t="s">
        <v>85</v>
      </c>
      <c r="F1428" s="12">
        <v>11.78</v>
      </c>
      <c r="G1428" s="12">
        <f>F1428-'Estatística'!$D$6/'Estatística'!$D$10</f>
        <v>10.77698037</v>
      </c>
      <c r="H1428" s="13">
        <v>45189.0</v>
      </c>
      <c r="I1428" s="14" t="str">
        <f t="shared" si="1"/>
        <v>set.</v>
      </c>
      <c r="O1428" s="8"/>
    </row>
    <row r="1429" ht="15.75" customHeight="1">
      <c r="A1429" s="19">
        <v>29.0</v>
      </c>
      <c r="B1429" s="19" t="s">
        <v>122</v>
      </c>
      <c r="C1429" s="19" t="s">
        <v>123</v>
      </c>
      <c r="D1429" s="20" t="s">
        <v>11</v>
      </c>
      <c r="E1429" s="21" t="s">
        <v>39</v>
      </c>
      <c r="F1429" s="22">
        <v>41.45</v>
      </c>
      <c r="G1429" s="22">
        <f>F1429-'Estatística'!$D$6/'Estatística'!$D$10</f>
        <v>40.44698037</v>
      </c>
      <c r="H1429" s="23">
        <v>45189.0</v>
      </c>
      <c r="I1429" s="24" t="str">
        <f t="shared" si="1"/>
        <v>set.</v>
      </c>
      <c r="O1429" s="8"/>
    </row>
    <row r="1430" ht="15.75" customHeight="1">
      <c r="A1430" s="9">
        <v>51.0</v>
      </c>
      <c r="B1430" s="9" t="s">
        <v>233</v>
      </c>
      <c r="C1430" s="9" t="s">
        <v>234</v>
      </c>
      <c r="D1430" s="10" t="s">
        <v>30</v>
      </c>
      <c r="E1430" s="11" t="s">
        <v>85</v>
      </c>
      <c r="F1430" s="12">
        <v>13.85</v>
      </c>
      <c r="G1430" s="12">
        <f>F1430-'Estatística'!$D$6/'Estatística'!$D$10</f>
        <v>12.84698037</v>
      </c>
      <c r="H1430" s="13">
        <v>45189.0</v>
      </c>
      <c r="I1430" s="14" t="str">
        <f t="shared" si="1"/>
        <v>set.</v>
      </c>
      <c r="O1430" s="8"/>
    </row>
    <row r="1431" ht="15.75" customHeight="1">
      <c r="A1431" s="19">
        <v>71.0</v>
      </c>
      <c r="B1431" s="19" t="s">
        <v>150</v>
      </c>
      <c r="C1431" s="19" t="s">
        <v>151</v>
      </c>
      <c r="D1431" s="20" t="s">
        <v>11</v>
      </c>
      <c r="E1431" s="21" t="s">
        <v>97</v>
      </c>
      <c r="F1431" s="22">
        <v>4.31</v>
      </c>
      <c r="G1431" s="22">
        <f>F1431-'Estatística'!$D$6/'Estatística'!$D$10</f>
        <v>3.306980371</v>
      </c>
      <c r="H1431" s="23">
        <v>45189.0</v>
      </c>
      <c r="I1431" s="24" t="str">
        <f t="shared" si="1"/>
        <v>set.</v>
      </c>
      <c r="O1431" s="8"/>
    </row>
    <row r="1432" ht="15.75" customHeight="1">
      <c r="A1432" s="9">
        <v>53.0</v>
      </c>
      <c r="B1432" s="9" t="s">
        <v>241</v>
      </c>
      <c r="C1432" s="9" t="s">
        <v>242</v>
      </c>
      <c r="D1432" s="10" t="s">
        <v>11</v>
      </c>
      <c r="E1432" s="11" t="s">
        <v>43</v>
      </c>
      <c r="F1432" s="12">
        <v>15.58</v>
      </c>
      <c r="G1432" s="12">
        <f>F1432-'Estatística'!$D$6/'Estatística'!$D$10</f>
        <v>14.57698037</v>
      </c>
      <c r="H1432" s="13">
        <v>45189.0</v>
      </c>
      <c r="I1432" s="14" t="str">
        <f t="shared" si="1"/>
        <v>set.</v>
      </c>
      <c r="O1432" s="8"/>
    </row>
    <row r="1433" ht="15.75" customHeight="1">
      <c r="A1433" s="19">
        <v>17.0</v>
      </c>
      <c r="B1433" s="19" t="s">
        <v>200</v>
      </c>
      <c r="C1433" s="19" t="s">
        <v>201</v>
      </c>
      <c r="D1433" s="20" t="s">
        <v>11</v>
      </c>
      <c r="E1433" s="21" t="s">
        <v>56</v>
      </c>
      <c r="F1433" s="22">
        <v>76.29</v>
      </c>
      <c r="G1433" s="22">
        <f>F1433-'Estatística'!$D$6/'Estatística'!$D$10</f>
        <v>75.28698037</v>
      </c>
      <c r="H1433" s="23">
        <v>45189.0</v>
      </c>
      <c r="I1433" s="24" t="str">
        <f t="shared" si="1"/>
        <v>set.</v>
      </c>
      <c r="O1433" s="8"/>
    </row>
    <row r="1434" ht="15.75" customHeight="1">
      <c r="A1434" s="9">
        <v>68.0</v>
      </c>
      <c r="B1434" s="9" t="s">
        <v>41</v>
      </c>
      <c r="C1434" s="9" t="s">
        <v>42</v>
      </c>
      <c r="D1434" s="10" t="s">
        <v>11</v>
      </c>
      <c r="E1434" s="11" t="s">
        <v>35</v>
      </c>
      <c r="F1434" s="12">
        <v>14.9</v>
      </c>
      <c r="G1434" s="12">
        <f>F1434-'Estatística'!$D$6/'Estatística'!$D$10</f>
        <v>13.89698037</v>
      </c>
      <c r="H1434" s="13">
        <v>45189.0</v>
      </c>
      <c r="I1434" s="14" t="str">
        <f t="shared" si="1"/>
        <v>set.</v>
      </c>
      <c r="O1434" s="8"/>
    </row>
    <row r="1435" ht="15.75" customHeight="1">
      <c r="A1435" s="19">
        <v>98.0</v>
      </c>
      <c r="B1435" s="19" t="s">
        <v>159</v>
      </c>
      <c r="C1435" s="19" t="s">
        <v>196</v>
      </c>
      <c r="D1435" s="20" t="s">
        <v>30</v>
      </c>
      <c r="E1435" s="21" t="s">
        <v>91</v>
      </c>
      <c r="F1435" s="22">
        <v>2.52</v>
      </c>
      <c r="G1435" s="22">
        <f>F1435-'Estatística'!$D$6/'Estatística'!$D$10</f>
        <v>1.516980371</v>
      </c>
      <c r="H1435" s="23">
        <v>45190.0</v>
      </c>
      <c r="I1435" s="24" t="str">
        <f t="shared" si="1"/>
        <v>set.</v>
      </c>
      <c r="O1435" s="8"/>
    </row>
    <row r="1436" ht="15.75" customHeight="1">
      <c r="A1436" s="9">
        <v>75.0</v>
      </c>
      <c r="B1436" s="9" t="s">
        <v>238</v>
      </c>
      <c r="C1436" s="9" t="s">
        <v>239</v>
      </c>
      <c r="D1436" s="10" t="s">
        <v>11</v>
      </c>
      <c r="E1436" s="11" t="s">
        <v>88</v>
      </c>
      <c r="F1436" s="12">
        <v>35.77</v>
      </c>
      <c r="G1436" s="12">
        <f>F1436-'Estatística'!$D$6/'Estatística'!$D$10</f>
        <v>34.76698037</v>
      </c>
      <c r="H1436" s="13">
        <v>45190.0</v>
      </c>
      <c r="I1436" s="14" t="str">
        <f t="shared" si="1"/>
        <v>set.</v>
      </c>
      <c r="O1436" s="8"/>
    </row>
    <row r="1437" ht="15.75" customHeight="1">
      <c r="A1437" s="19">
        <v>16.0</v>
      </c>
      <c r="B1437" s="19" t="s">
        <v>175</v>
      </c>
      <c r="C1437" s="19" t="s">
        <v>176</v>
      </c>
      <c r="D1437" s="20" t="s">
        <v>30</v>
      </c>
      <c r="E1437" s="21" t="s">
        <v>82</v>
      </c>
      <c r="F1437" s="22">
        <v>14.72</v>
      </c>
      <c r="G1437" s="22">
        <f>F1437-'Estatística'!$D$6/'Estatística'!$D$10</f>
        <v>13.71698037</v>
      </c>
      <c r="H1437" s="23">
        <v>45190.0</v>
      </c>
      <c r="I1437" s="24" t="str">
        <f t="shared" si="1"/>
        <v>set.</v>
      </c>
      <c r="O1437" s="8"/>
    </row>
    <row r="1438" ht="15.75" customHeight="1">
      <c r="A1438" s="9">
        <v>90.0</v>
      </c>
      <c r="B1438" s="9" t="s">
        <v>219</v>
      </c>
      <c r="C1438" s="9" t="s">
        <v>220</v>
      </c>
      <c r="D1438" s="10" t="s">
        <v>11</v>
      </c>
      <c r="E1438" s="11" t="s">
        <v>68</v>
      </c>
      <c r="F1438" s="12">
        <v>10.38</v>
      </c>
      <c r="G1438" s="12">
        <f>F1438-'Estatística'!$D$6/'Estatística'!$D$10</f>
        <v>9.376980371</v>
      </c>
      <c r="H1438" s="13">
        <v>45190.0</v>
      </c>
      <c r="I1438" s="14" t="str">
        <f t="shared" si="1"/>
        <v>set.</v>
      </c>
      <c r="O1438" s="8"/>
    </row>
    <row r="1439" ht="15.75" customHeight="1">
      <c r="A1439" s="19">
        <v>12.0</v>
      </c>
      <c r="B1439" s="19" t="s">
        <v>188</v>
      </c>
      <c r="C1439" s="19" t="s">
        <v>189</v>
      </c>
      <c r="D1439" s="20" t="s">
        <v>11</v>
      </c>
      <c r="E1439" s="21" t="s">
        <v>60</v>
      </c>
      <c r="F1439" s="22">
        <v>56.92</v>
      </c>
      <c r="G1439" s="22">
        <f>F1439-'Estatística'!$D$6/'Estatística'!$D$10</f>
        <v>55.91698037</v>
      </c>
      <c r="H1439" s="23">
        <v>45190.0</v>
      </c>
      <c r="I1439" s="24" t="str">
        <f t="shared" si="1"/>
        <v>set.</v>
      </c>
      <c r="O1439" s="8"/>
    </row>
    <row r="1440" ht="15.75" customHeight="1">
      <c r="A1440" s="9">
        <v>59.0</v>
      </c>
      <c r="B1440" s="9" t="s">
        <v>103</v>
      </c>
      <c r="C1440" s="9" t="s">
        <v>104</v>
      </c>
      <c r="D1440" s="10" t="s">
        <v>30</v>
      </c>
      <c r="E1440" s="11" t="s">
        <v>91</v>
      </c>
      <c r="F1440" s="12">
        <v>1.43</v>
      </c>
      <c r="G1440" s="12">
        <f>F1440-'Estatística'!$D$6/'Estatística'!$D$10</f>
        <v>0.4269803714</v>
      </c>
      <c r="H1440" s="13">
        <v>45190.0</v>
      </c>
      <c r="I1440" s="14" t="str">
        <f t="shared" si="1"/>
        <v>set.</v>
      </c>
      <c r="O1440" s="8"/>
    </row>
    <row r="1441" ht="15.75" customHeight="1">
      <c r="A1441" s="19">
        <v>90.0</v>
      </c>
      <c r="B1441" s="19" t="s">
        <v>219</v>
      </c>
      <c r="C1441" s="19" t="s">
        <v>220</v>
      </c>
      <c r="D1441" s="20" t="s">
        <v>11</v>
      </c>
      <c r="E1441" s="21" t="s">
        <v>88</v>
      </c>
      <c r="F1441" s="22">
        <v>33.68</v>
      </c>
      <c r="G1441" s="22">
        <f>F1441-'Estatística'!$D$6/'Estatística'!$D$10</f>
        <v>32.67698037</v>
      </c>
      <c r="H1441" s="23">
        <v>45190.0</v>
      </c>
      <c r="I1441" s="24" t="str">
        <f t="shared" si="1"/>
        <v>set.</v>
      </c>
      <c r="O1441" s="8"/>
    </row>
    <row r="1442" ht="15.75" customHeight="1">
      <c r="A1442" s="9">
        <v>42.0</v>
      </c>
      <c r="B1442" s="9" t="s">
        <v>92</v>
      </c>
      <c r="C1442" s="9" t="s">
        <v>170</v>
      </c>
      <c r="D1442" s="10" t="s">
        <v>30</v>
      </c>
      <c r="E1442" s="11" t="s">
        <v>88</v>
      </c>
      <c r="F1442" s="12">
        <v>36.82</v>
      </c>
      <c r="G1442" s="12">
        <f>F1442-'Estatística'!$D$6/'Estatística'!$D$10</f>
        <v>35.81698037</v>
      </c>
      <c r="H1442" s="13">
        <v>45191.0</v>
      </c>
      <c r="I1442" s="14" t="str">
        <f t="shared" si="1"/>
        <v>set.</v>
      </c>
      <c r="O1442" s="8"/>
    </row>
    <row r="1443" ht="15.75" customHeight="1">
      <c r="A1443" s="19">
        <v>61.0</v>
      </c>
      <c r="B1443" s="19" t="s">
        <v>106</v>
      </c>
      <c r="C1443" s="19" t="s">
        <v>107</v>
      </c>
      <c r="D1443" s="20" t="s">
        <v>11</v>
      </c>
      <c r="E1443" s="21" t="s">
        <v>46</v>
      </c>
      <c r="F1443" s="22">
        <v>12.54</v>
      </c>
      <c r="G1443" s="22">
        <f>F1443-'Estatística'!$D$6/'Estatística'!$D$10</f>
        <v>11.53698037</v>
      </c>
      <c r="H1443" s="23">
        <v>45191.0</v>
      </c>
      <c r="I1443" s="24" t="str">
        <f t="shared" si="1"/>
        <v>set.</v>
      </c>
      <c r="O1443" s="8"/>
    </row>
    <row r="1444" ht="15.75" customHeight="1">
      <c r="A1444" s="9">
        <v>82.0</v>
      </c>
      <c r="B1444" s="9" t="s">
        <v>231</v>
      </c>
      <c r="C1444" s="9" t="s">
        <v>232</v>
      </c>
      <c r="D1444" s="10" t="s">
        <v>30</v>
      </c>
      <c r="E1444" s="11" t="s">
        <v>43</v>
      </c>
      <c r="F1444" s="12">
        <v>18.01</v>
      </c>
      <c r="G1444" s="12">
        <f>F1444-'Estatística'!$D$6/'Estatística'!$D$10</f>
        <v>17.00698037</v>
      </c>
      <c r="H1444" s="13">
        <v>45191.0</v>
      </c>
      <c r="I1444" s="14" t="str">
        <f t="shared" si="1"/>
        <v>set.</v>
      </c>
      <c r="O1444" s="8"/>
    </row>
    <row r="1445" ht="15.75" customHeight="1">
      <c r="A1445" s="19">
        <v>41.0</v>
      </c>
      <c r="B1445" s="19" t="s">
        <v>217</v>
      </c>
      <c r="C1445" s="19" t="s">
        <v>218</v>
      </c>
      <c r="D1445" s="20" t="s">
        <v>30</v>
      </c>
      <c r="E1445" s="21" t="s">
        <v>88</v>
      </c>
      <c r="F1445" s="22">
        <v>33.54</v>
      </c>
      <c r="G1445" s="22">
        <f>F1445-'Estatística'!$D$6/'Estatística'!$D$10</f>
        <v>32.53698037</v>
      </c>
      <c r="H1445" s="23">
        <v>45192.0</v>
      </c>
      <c r="I1445" s="24" t="str">
        <f t="shared" si="1"/>
        <v>set.</v>
      </c>
      <c r="O1445" s="8"/>
    </row>
    <row r="1446" ht="15.75" customHeight="1">
      <c r="A1446" s="9">
        <v>32.0</v>
      </c>
      <c r="B1446" s="9" t="s">
        <v>146</v>
      </c>
      <c r="C1446" s="9" t="s">
        <v>147</v>
      </c>
      <c r="D1446" s="10" t="s">
        <v>11</v>
      </c>
      <c r="E1446" s="11" t="s">
        <v>68</v>
      </c>
      <c r="F1446" s="12">
        <v>16.49</v>
      </c>
      <c r="G1446" s="12">
        <f>F1446-'Estatística'!$D$6/'Estatística'!$D$10</f>
        <v>15.48698037</v>
      </c>
      <c r="H1446" s="13">
        <v>45192.0</v>
      </c>
      <c r="I1446" s="14" t="str">
        <f t="shared" si="1"/>
        <v>set.</v>
      </c>
      <c r="O1446" s="8"/>
    </row>
    <row r="1447" ht="15.75" customHeight="1">
      <c r="A1447" s="19">
        <v>98.0</v>
      </c>
      <c r="B1447" s="19" t="s">
        <v>159</v>
      </c>
      <c r="C1447" s="19" t="s">
        <v>196</v>
      </c>
      <c r="D1447" s="20" t="s">
        <v>30</v>
      </c>
      <c r="E1447" s="21" t="s">
        <v>88</v>
      </c>
      <c r="F1447" s="22">
        <v>34.78</v>
      </c>
      <c r="G1447" s="22">
        <f>F1447-'Estatística'!$D$6/'Estatística'!$D$10</f>
        <v>33.77698037</v>
      </c>
      <c r="H1447" s="23">
        <v>45192.0</v>
      </c>
      <c r="I1447" s="24" t="str">
        <f t="shared" si="1"/>
        <v>set.</v>
      </c>
      <c r="O1447" s="8"/>
    </row>
    <row r="1448" ht="15.75" customHeight="1">
      <c r="A1448" s="9">
        <v>50.0</v>
      </c>
      <c r="B1448" s="9" t="s">
        <v>33</v>
      </c>
      <c r="C1448" s="9" t="s">
        <v>34</v>
      </c>
      <c r="D1448" s="10" t="s">
        <v>11</v>
      </c>
      <c r="E1448" s="11" t="s">
        <v>52</v>
      </c>
      <c r="F1448" s="12">
        <v>47.14</v>
      </c>
      <c r="G1448" s="12">
        <f>F1448-'Estatística'!$D$6/'Estatística'!$D$10</f>
        <v>46.13698037</v>
      </c>
      <c r="H1448" s="13">
        <v>45192.0</v>
      </c>
      <c r="I1448" s="14" t="str">
        <f t="shared" si="1"/>
        <v>set.</v>
      </c>
      <c r="O1448" s="8"/>
    </row>
    <row r="1449" ht="15.75" customHeight="1">
      <c r="A1449" s="19">
        <v>95.0</v>
      </c>
      <c r="B1449" s="19" t="s">
        <v>110</v>
      </c>
      <c r="C1449" s="19" t="s">
        <v>111</v>
      </c>
      <c r="D1449" s="20" t="s">
        <v>11</v>
      </c>
      <c r="E1449" s="21" t="s">
        <v>94</v>
      </c>
      <c r="F1449" s="22">
        <v>31.34</v>
      </c>
      <c r="G1449" s="22">
        <f>F1449-'Estatística'!$D$6/'Estatística'!$D$10</f>
        <v>30.33698037</v>
      </c>
      <c r="H1449" s="23">
        <v>45193.0</v>
      </c>
      <c r="I1449" s="24" t="str">
        <f t="shared" si="1"/>
        <v>set.</v>
      </c>
      <c r="O1449" s="8"/>
    </row>
    <row r="1450" ht="15.75" customHeight="1">
      <c r="A1450" s="9">
        <v>40.0</v>
      </c>
      <c r="B1450" s="9" t="s">
        <v>122</v>
      </c>
      <c r="C1450" s="9" t="s">
        <v>185</v>
      </c>
      <c r="D1450" s="10" t="s">
        <v>30</v>
      </c>
      <c r="E1450" s="11" t="s">
        <v>85</v>
      </c>
      <c r="F1450" s="12">
        <v>13.67</v>
      </c>
      <c r="G1450" s="12">
        <f>F1450-'Estatística'!$D$6/'Estatística'!$D$10</f>
        <v>12.66698037</v>
      </c>
      <c r="H1450" s="13">
        <v>45193.0</v>
      </c>
      <c r="I1450" s="14" t="str">
        <f t="shared" si="1"/>
        <v>set.</v>
      </c>
      <c r="O1450" s="8"/>
    </row>
    <row r="1451" ht="15.75" customHeight="1">
      <c r="A1451" s="19">
        <v>73.0</v>
      </c>
      <c r="B1451" s="19" t="s">
        <v>223</v>
      </c>
      <c r="C1451" s="19" t="s">
        <v>224</v>
      </c>
      <c r="D1451" s="20" t="s">
        <v>30</v>
      </c>
      <c r="E1451" s="21" t="s">
        <v>39</v>
      </c>
      <c r="F1451" s="22">
        <v>22.59</v>
      </c>
      <c r="G1451" s="22">
        <f>F1451-'Estatística'!$D$6/'Estatística'!$D$10</f>
        <v>21.58698037</v>
      </c>
      <c r="H1451" s="23">
        <v>45193.0</v>
      </c>
      <c r="I1451" s="24" t="str">
        <f t="shared" si="1"/>
        <v>set.</v>
      </c>
      <c r="O1451" s="8"/>
    </row>
    <row r="1452" ht="15.75" customHeight="1">
      <c r="A1452" s="9">
        <v>71.0</v>
      </c>
      <c r="B1452" s="9" t="s">
        <v>150</v>
      </c>
      <c r="C1452" s="9" t="s">
        <v>151</v>
      </c>
      <c r="D1452" s="10" t="s">
        <v>30</v>
      </c>
      <c r="E1452" s="11" t="s">
        <v>39</v>
      </c>
      <c r="F1452" s="12">
        <v>28.81</v>
      </c>
      <c r="G1452" s="12">
        <f>F1452-'Estatística'!$D$6/'Estatística'!$D$10</f>
        <v>27.80698037</v>
      </c>
      <c r="H1452" s="13">
        <v>45193.0</v>
      </c>
      <c r="I1452" s="14" t="str">
        <f t="shared" si="1"/>
        <v>set.</v>
      </c>
      <c r="O1452" s="8"/>
    </row>
    <row r="1453" ht="15.75" customHeight="1">
      <c r="A1453" s="19">
        <v>67.0</v>
      </c>
      <c r="B1453" s="19" t="s">
        <v>204</v>
      </c>
      <c r="C1453" s="19" t="s">
        <v>205</v>
      </c>
      <c r="D1453" s="20" t="s">
        <v>30</v>
      </c>
      <c r="E1453" s="21" t="s">
        <v>35</v>
      </c>
      <c r="F1453" s="22">
        <v>15.66</v>
      </c>
      <c r="G1453" s="22">
        <f>F1453-'Estatística'!$D$6/'Estatística'!$D$10</f>
        <v>14.65698037</v>
      </c>
      <c r="H1453" s="23">
        <v>45193.0</v>
      </c>
      <c r="I1453" s="24" t="str">
        <f t="shared" si="1"/>
        <v>set.</v>
      </c>
      <c r="O1453" s="8"/>
    </row>
    <row r="1454" ht="15.75" customHeight="1">
      <c r="A1454" s="9">
        <v>84.0</v>
      </c>
      <c r="B1454" s="9" t="s">
        <v>141</v>
      </c>
      <c r="C1454" s="9" t="s">
        <v>142</v>
      </c>
      <c r="D1454" s="10" t="s">
        <v>11</v>
      </c>
      <c r="E1454" s="11" t="s">
        <v>46</v>
      </c>
      <c r="F1454" s="12">
        <v>12.35</v>
      </c>
      <c r="G1454" s="12">
        <f>F1454-'Estatística'!$D$6/'Estatística'!$D$10</f>
        <v>11.34698037</v>
      </c>
      <c r="H1454" s="13">
        <v>45193.0</v>
      </c>
      <c r="I1454" s="14" t="str">
        <f t="shared" si="1"/>
        <v>set.</v>
      </c>
      <c r="O1454" s="8"/>
    </row>
    <row r="1455" ht="15.75" customHeight="1">
      <c r="A1455" s="19">
        <v>93.0</v>
      </c>
      <c r="B1455" s="19" t="s">
        <v>129</v>
      </c>
      <c r="C1455" s="19" t="s">
        <v>130</v>
      </c>
      <c r="D1455" s="20" t="s">
        <v>11</v>
      </c>
      <c r="E1455" s="21" t="s">
        <v>35</v>
      </c>
      <c r="F1455" s="22">
        <v>17.94</v>
      </c>
      <c r="G1455" s="22">
        <f>F1455-'Estatística'!$D$6/'Estatística'!$D$10</f>
        <v>16.93698037</v>
      </c>
      <c r="H1455" s="23">
        <v>45193.0</v>
      </c>
      <c r="I1455" s="24" t="str">
        <f t="shared" si="1"/>
        <v>set.</v>
      </c>
      <c r="O1455" s="8"/>
    </row>
    <row r="1456" ht="15.75" customHeight="1">
      <c r="A1456" s="9">
        <v>17.0</v>
      </c>
      <c r="B1456" s="9" t="s">
        <v>200</v>
      </c>
      <c r="C1456" s="9" t="s">
        <v>201</v>
      </c>
      <c r="D1456" s="10" t="s">
        <v>11</v>
      </c>
      <c r="E1456" s="11" t="s">
        <v>97</v>
      </c>
      <c r="F1456" s="12">
        <v>2.05</v>
      </c>
      <c r="G1456" s="12">
        <f>F1456-'Estatística'!$D$6/'Estatística'!$D$10</f>
        <v>1.046980371</v>
      </c>
      <c r="H1456" s="13">
        <v>45193.0</v>
      </c>
      <c r="I1456" s="14" t="str">
        <f t="shared" si="1"/>
        <v>set.</v>
      </c>
      <c r="O1456" s="8"/>
    </row>
    <row r="1457" ht="15.75" customHeight="1">
      <c r="A1457" s="19">
        <v>1.0</v>
      </c>
      <c r="B1457" s="19" t="s">
        <v>194</v>
      </c>
      <c r="C1457" s="19" t="s">
        <v>195</v>
      </c>
      <c r="D1457" s="20" t="s">
        <v>30</v>
      </c>
      <c r="E1457" s="21" t="s">
        <v>82</v>
      </c>
      <c r="F1457" s="22">
        <v>15.16</v>
      </c>
      <c r="G1457" s="22">
        <f>F1457-'Estatística'!$D$6/'Estatística'!$D$10</f>
        <v>14.15698037</v>
      </c>
      <c r="H1457" s="23">
        <v>45194.0</v>
      </c>
      <c r="I1457" s="24" t="str">
        <f t="shared" si="1"/>
        <v>set.</v>
      </c>
      <c r="O1457" s="8"/>
    </row>
    <row r="1458" ht="15.75" customHeight="1">
      <c r="A1458" s="9">
        <v>1.0</v>
      </c>
      <c r="B1458" s="9" t="s">
        <v>194</v>
      </c>
      <c r="C1458" s="9" t="s">
        <v>195</v>
      </c>
      <c r="D1458" s="10" t="s">
        <v>30</v>
      </c>
      <c r="E1458" s="11" t="s">
        <v>43</v>
      </c>
      <c r="F1458" s="12">
        <v>18.3</v>
      </c>
      <c r="G1458" s="12">
        <f>F1458-'Estatística'!$D$6/'Estatística'!$D$10</f>
        <v>17.29698037</v>
      </c>
      <c r="H1458" s="13">
        <v>45194.0</v>
      </c>
      <c r="I1458" s="14" t="str">
        <f t="shared" si="1"/>
        <v>set.</v>
      </c>
      <c r="O1458" s="8"/>
    </row>
    <row r="1459" ht="15.75" customHeight="1">
      <c r="A1459" s="19">
        <v>77.0</v>
      </c>
      <c r="B1459" s="19" t="s">
        <v>9</v>
      </c>
      <c r="C1459" s="19" t="s">
        <v>169</v>
      </c>
      <c r="D1459" s="20" t="s">
        <v>30</v>
      </c>
      <c r="E1459" s="21" t="s">
        <v>39</v>
      </c>
      <c r="F1459" s="22">
        <v>22.33</v>
      </c>
      <c r="G1459" s="22">
        <f>F1459-'Estatística'!$D$6/'Estatística'!$D$10</f>
        <v>21.32698037</v>
      </c>
      <c r="H1459" s="23">
        <v>45195.0</v>
      </c>
      <c r="I1459" s="24" t="str">
        <f t="shared" si="1"/>
        <v>set.</v>
      </c>
      <c r="O1459" s="8"/>
    </row>
    <row r="1460" ht="15.75" customHeight="1">
      <c r="A1460" s="9">
        <v>35.0</v>
      </c>
      <c r="B1460" s="9" t="s">
        <v>125</v>
      </c>
      <c r="C1460" s="9" t="s">
        <v>126</v>
      </c>
      <c r="D1460" s="10" t="s">
        <v>11</v>
      </c>
      <c r="E1460" s="11" t="s">
        <v>56</v>
      </c>
      <c r="F1460" s="12">
        <v>73.16</v>
      </c>
      <c r="G1460" s="12">
        <f>F1460-'Estatística'!$D$6/'Estatística'!$D$10</f>
        <v>72.15698037</v>
      </c>
      <c r="H1460" s="13">
        <v>45195.0</v>
      </c>
      <c r="I1460" s="14" t="str">
        <f t="shared" si="1"/>
        <v>set.</v>
      </c>
      <c r="O1460" s="8"/>
    </row>
    <row r="1461" ht="15.75" customHeight="1">
      <c r="A1461" s="19">
        <v>81.0</v>
      </c>
      <c r="B1461" s="19" t="s">
        <v>54</v>
      </c>
      <c r="C1461" s="19" t="s">
        <v>55</v>
      </c>
      <c r="D1461" s="20" t="s">
        <v>30</v>
      </c>
      <c r="E1461" s="21" t="s">
        <v>79</v>
      </c>
      <c r="F1461" s="22">
        <v>36.84</v>
      </c>
      <c r="G1461" s="22">
        <f>F1461-'Estatística'!$D$6/'Estatística'!$D$10</f>
        <v>35.83698037</v>
      </c>
      <c r="H1461" s="23">
        <v>45195.0</v>
      </c>
      <c r="I1461" s="24" t="str">
        <f t="shared" si="1"/>
        <v>set.</v>
      </c>
      <c r="O1461" s="8"/>
    </row>
    <row r="1462" ht="15.75" customHeight="1">
      <c r="A1462" s="9">
        <v>48.0</v>
      </c>
      <c r="B1462" s="9" t="s">
        <v>41</v>
      </c>
      <c r="C1462" s="9" t="s">
        <v>45</v>
      </c>
      <c r="D1462" s="10" t="s">
        <v>11</v>
      </c>
      <c r="E1462" s="11" t="s">
        <v>46</v>
      </c>
      <c r="F1462" s="12">
        <v>12.13</v>
      </c>
      <c r="G1462" s="12">
        <f>F1462-'Estatística'!$D$6/'Estatística'!$D$10</f>
        <v>11.12698037</v>
      </c>
      <c r="H1462" s="13">
        <v>45195.0</v>
      </c>
      <c r="I1462" s="14" t="str">
        <f t="shared" si="1"/>
        <v>set.</v>
      </c>
      <c r="O1462" s="8"/>
    </row>
    <row r="1463" ht="15.75" customHeight="1">
      <c r="A1463" s="19">
        <v>68.0</v>
      </c>
      <c r="B1463" s="19" t="s">
        <v>41</v>
      </c>
      <c r="C1463" s="19" t="s">
        <v>42</v>
      </c>
      <c r="D1463" s="20" t="s">
        <v>11</v>
      </c>
      <c r="E1463" s="21" t="s">
        <v>50</v>
      </c>
      <c r="F1463" s="22">
        <v>29.42</v>
      </c>
      <c r="G1463" s="22">
        <f>F1463-'Estatística'!$D$6/'Estatística'!$D$10</f>
        <v>28.41698037</v>
      </c>
      <c r="H1463" s="23">
        <v>45195.0</v>
      </c>
      <c r="I1463" s="24" t="str">
        <f t="shared" si="1"/>
        <v>set.</v>
      </c>
      <c r="O1463" s="8"/>
    </row>
    <row r="1464" ht="15.75" customHeight="1">
      <c r="A1464" s="9">
        <v>22.0</v>
      </c>
      <c r="B1464" s="9" t="s">
        <v>131</v>
      </c>
      <c r="C1464" s="9" t="s">
        <v>132</v>
      </c>
      <c r="D1464" s="10" t="s">
        <v>30</v>
      </c>
      <c r="E1464" s="11" t="s">
        <v>79</v>
      </c>
      <c r="F1464" s="12">
        <v>30.94</v>
      </c>
      <c r="G1464" s="12">
        <f>F1464-'Estatística'!$D$6/'Estatística'!$D$10</f>
        <v>29.93698037</v>
      </c>
      <c r="H1464" s="13">
        <v>45195.0</v>
      </c>
      <c r="I1464" s="14" t="str">
        <f t="shared" si="1"/>
        <v>set.</v>
      </c>
      <c r="O1464" s="8"/>
    </row>
    <row r="1465" ht="15.75" customHeight="1">
      <c r="A1465" s="19">
        <v>6.0</v>
      </c>
      <c r="B1465" s="19" t="s">
        <v>183</v>
      </c>
      <c r="C1465" s="19" t="s">
        <v>184</v>
      </c>
      <c r="D1465" s="20" t="s">
        <v>11</v>
      </c>
      <c r="E1465" s="21" t="s">
        <v>91</v>
      </c>
      <c r="F1465" s="22">
        <v>1.78</v>
      </c>
      <c r="G1465" s="22">
        <f>F1465-'Estatística'!$D$6/'Estatística'!$D$10</f>
        <v>0.7769803714</v>
      </c>
      <c r="H1465" s="23">
        <v>45195.0</v>
      </c>
      <c r="I1465" s="24" t="str">
        <f t="shared" si="1"/>
        <v>set.</v>
      </c>
      <c r="O1465" s="8"/>
    </row>
    <row r="1466" ht="15.75" customHeight="1">
      <c r="A1466" s="9">
        <v>75.0</v>
      </c>
      <c r="B1466" s="9" t="s">
        <v>238</v>
      </c>
      <c r="C1466" s="9" t="s">
        <v>239</v>
      </c>
      <c r="D1466" s="10" t="s">
        <v>30</v>
      </c>
      <c r="E1466" s="11" t="s">
        <v>52</v>
      </c>
      <c r="F1466" s="12">
        <v>53.66</v>
      </c>
      <c r="G1466" s="12">
        <f>F1466-'Estatística'!$D$6/'Estatística'!$D$10</f>
        <v>52.65698037</v>
      </c>
      <c r="H1466" s="13">
        <v>45196.0</v>
      </c>
      <c r="I1466" s="14" t="str">
        <f t="shared" si="1"/>
        <v>set.</v>
      </c>
      <c r="O1466" s="8"/>
    </row>
    <row r="1467" ht="15.75" customHeight="1">
      <c r="A1467" s="19">
        <v>3.0</v>
      </c>
      <c r="B1467" s="19" t="s">
        <v>80</v>
      </c>
      <c r="C1467" s="19" t="s">
        <v>81</v>
      </c>
      <c r="D1467" s="20" t="s">
        <v>30</v>
      </c>
      <c r="E1467" s="21" t="s">
        <v>50</v>
      </c>
      <c r="F1467" s="22">
        <v>28.68</v>
      </c>
      <c r="G1467" s="22">
        <f>F1467-'Estatística'!$D$6/'Estatística'!$D$10</f>
        <v>27.67698037</v>
      </c>
      <c r="H1467" s="23">
        <v>45196.0</v>
      </c>
      <c r="I1467" s="24" t="str">
        <f t="shared" si="1"/>
        <v>set.</v>
      </c>
      <c r="O1467" s="8"/>
    </row>
    <row r="1468" ht="15.75" customHeight="1">
      <c r="A1468" s="9">
        <v>87.0</v>
      </c>
      <c r="B1468" s="9" t="s">
        <v>243</v>
      </c>
      <c r="C1468" s="9" t="s">
        <v>244</v>
      </c>
      <c r="D1468" s="10" t="s">
        <v>30</v>
      </c>
      <c r="E1468" s="11" t="s">
        <v>46</v>
      </c>
      <c r="F1468" s="12">
        <v>14.81</v>
      </c>
      <c r="G1468" s="12">
        <f>F1468-'Estatística'!$D$6/'Estatística'!$D$10</f>
        <v>13.80698037</v>
      </c>
      <c r="H1468" s="13">
        <v>45196.0</v>
      </c>
      <c r="I1468" s="14" t="str">
        <f t="shared" si="1"/>
        <v>set.</v>
      </c>
      <c r="O1468" s="8"/>
    </row>
    <row r="1469" ht="15.75" customHeight="1">
      <c r="A1469" s="19">
        <v>81.0</v>
      </c>
      <c r="B1469" s="19" t="s">
        <v>54</v>
      </c>
      <c r="C1469" s="19" t="s">
        <v>55</v>
      </c>
      <c r="D1469" s="20" t="s">
        <v>30</v>
      </c>
      <c r="E1469" s="21" t="s">
        <v>94</v>
      </c>
      <c r="F1469" s="22">
        <v>28.6</v>
      </c>
      <c r="G1469" s="22">
        <f>F1469-'Estatística'!$D$6/'Estatística'!$D$10</f>
        <v>27.59698037</v>
      </c>
      <c r="H1469" s="23">
        <v>45196.0</v>
      </c>
      <c r="I1469" s="24" t="str">
        <f t="shared" si="1"/>
        <v>set.</v>
      </c>
      <c r="O1469" s="8"/>
    </row>
    <row r="1470" ht="15.75" customHeight="1">
      <c r="A1470" s="9">
        <v>94.0</v>
      </c>
      <c r="B1470" s="9" t="s">
        <v>207</v>
      </c>
      <c r="C1470" s="9" t="s">
        <v>237</v>
      </c>
      <c r="D1470" s="10" t="s">
        <v>11</v>
      </c>
      <c r="E1470" s="11" t="s">
        <v>88</v>
      </c>
      <c r="F1470" s="12">
        <v>40.82</v>
      </c>
      <c r="G1470" s="12">
        <f>F1470-'Estatística'!$D$6/'Estatística'!$D$10</f>
        <v>39.81698037</v>
      </c>
      <c r="H1470" s="13">
        <v>45197.0</v>
      </c>
      <c r="I1470" s="14" t="str">
        <f t="shared" si="1"/>
        <v>set.</v>
      </c>
      <c r="O1470" s="8"/>
    </row>
    <row r="1471" ht="15.75" customHeight="1">
      <c r="A1471" s="19">
        <v>68.0</v>
      </c>
      <c r="B1471" s="19" t="s">
        <v>41</v>
      </c>
      <c r="C1471" s="19" t="s">
        <v>42</v>
      </c>
      <c r="D1471" s="20" t="s">
        <v>30</v>
      </c>
      <c r="E1471" s="21" t="s">
        <v>88</v>
      </c>
      <c r="F1471" s="22">
        <v>39.42</v>
      </c>
      <c r="G1471" s="22">
        <f>F1471-'Estatística'!$D$6/'Estatística'!$D$10</f>
        <v>38.41698037</v>
      </c>
      <c r="H1471" s="23">
        <v>45197.0</v>
      </c>
      <c r="I1471" s="24" t="str">
        <f t="shared" si="1"/>
        <v>set.</v>
      </c>
      <c r="O1471" s="8"/>
    </row>
    <row r="1472" ht="15.75" customHeight="1">
      <c r="A1472" s="9">
        <v>99.0</v>
      </c>
      <c r="B1472" s="9" t="s">
        <v>73</v>
      </c>
      <c r="C1472" s="9" t="s">
        <v>74</v>
      </c>
      <c r="D1472" s="10" t="s">
        <v>30</v>
      </c>
      <c r="E1472" s="11" t="s">
        <v>91</v>
      </c>
      <c r="F1472" s="12">
        <v>3.4</v>
      </c>
      <c r="G1472" s="12">
        <f>F1472-'Estatística'!$D$6/'Estatística'!$D$10</f>
        <v>2.396980371</v>
      </c>
      <c r="H1472" s="13">
        <v>45197.0</v>
      </c>
      <c r="I1472" s="14" t="str">
        <f t="shared" si="1"/>
        <v>set.</v>
      </c>
      <c r="O1472" s="8"/>
    </row>
    <row r="1473" ht="15.75" customHeight="1">
      <c r="A1473" s="19">
        <v>74.0</v>
      </c>
      <c r="B1473" s="19" t="s">
        <v>9</v>
      </c>
      <c r="C1473" s="19" t="s">
        <v>124</v>
      </c>
      <c r="D1473" s="20" t="s">
        <v>11</v>
      </c>
      <c r="E1473" s="21" t="s">
        <v>97</v>
      </c>
      <c r="F1473" s="22">
        <v>4.59</v>
      </c>
      <c r="G1473" s="22">
        <f>F1473-'Estatística'!$D$6/'Estatística'!$D$10</f>
        <v>3.586980371</v>
      </c>
      <c r="H1473" s="23">
        <v>45197.0</v>
      </c>
      <c r="I1473" s="24" t="str">
        <f t="shared" si="1"/>
        <v>set.</v>
      </c>
      <c r="O1473" s="8"/>
    </row>
    <row r="1474" ht="15.75" customHeight="1">
      <c r="A1474" s="9">
        <v>7.0</v>
      </c>
      <c r="B1474" s="9" t="s">
        <v>114</v>
      </c>
      <c r="C1474" s="9" t="s">
        <v>115</v>
      </c>
      <c r="D1474" s="10" t="s">
        <v>30</v>
      </c>
      <c r="E1474" s="11" t="s">
        <v>91</v>
      </c>
      <c r="F1474" s="12">
        <v>3.89</v>
      </c>
      <c r="G1474" s="12">
        <f>F1474-'Estatística'!$D$6/'Estatística'!$D$10</f>
        <v>2.886980371</v>
      </c>
      <c r="H1474" s="13">
        <v>45200.0</v>
      </c>
      <c r="I1474" s="14" t="str">
        <f t="shared" si="1"/>
        <v>out.</v>
      </c>
      <c r="O1474" s="8"/>
    </row>
    <row r="1475" ht="15.75" customHeight="1">
      <c r="A1475" s="19">
        <v>48.0</v>
      </c>
      <c r="B1475" s="19" t="s">
        <v>41</v>
      </c>
      <c r="C1475" s="19" t="s">
        <v>45</v>
      </c>
      <c r="D1475" s="20" t="s">
        <v>30</v>
      </c>
      <c r="E1475" s="21" t="s">
        <v>79</v>
      </c>
      <c r="F1475" s="22">
        <v>33.51</v>
      </c>
      <c r="G1475" s="22">
        <f>F1475-'Estatística'!$D$6/'Estatística'!$D$10</f>
        <v>32.50698037</v>
      </c>
      <c r="H1475" s="23">
        <v>45200.0</v>
      </c>
      <c r="I1475" s="24" t="str">
        <f t="shared" si="1"/>
        <v>out.</v>
      </c>
      <c r="O1475" s="8"/>
    </row>
    <row r="1476" ht="15.75" customHeight="1">
      <c r="A1476" s="9">
        <v>94.0</v>
      </c>
      <c r="B1476" s="9" t="s">
        <v>207</v>
      </c>
      <c r="C1476" s="9" t="s">
        <v>237</v>
      </c>
      <c r="D1476" s="10" t="s">
        <v>30</v>
      </c>
      <c r="E1476" s="11" t="s">
        <v>31</v>
      </c>
      <c r="F1476" s="12">
        <v>55.41</v>
      </c>
      <c r="G1476" s="12">
        <f>F1476-'Estatística'!$D$6/'Estatística'!$D$10</f>
        <v>54.40698037</v>
      </c>
      <c r="H1476" s="13">
        <v>45200.0</v>
      </c>
      <c r="I1476" s="14" t="str">
        <f t="shared" si="1"/>
        <v>out.</v>
      </c>
      <c r="O1476" s="8"/>
    </row>
    <row r="1477" ht="15.75" customHeight="1">
      <c r="A1477" s="19">
        <v>72.0</v>
      </c>
      <c r="B1477" s="19" t="s">
        <v>133</v>
      </c>
      <c r="C1477" s="19" t="s">
        <v>134</v>
      </c>
      <c r="D1477" s="20" t="s">
        <v>30</v>
      </c>
      <c r="E1477" s="21" t="s">
        <v>68</v>
      </c>
      <c r="F1477" s="22">
        <v>17.24</v>
      </c>
      <c r="G1477" s="22">
        <f>F1477-'Estatística'!$D$6/'Estatística'!$D$10</f>
        <v>16.23698037</v>
      </c>
      <c r="H1477" s="23">
        <v>45200.0</v>
      </c>
      <c r="I1477" s="24" t="str">
        <f t="shared" si="1"/>
        <v>out.</v>
      </c>
      <c r="O1477" s="8"/>
    </row>
    <row r="1478" ht="15.75" customHeight="1">
      <c r="A1478" s="9">
        <v>52.0</v>
      </c>
      <c r="B1478" s="9" t="s">
        <v>181</v>
      </c>
      <c r="C1478" s="9" t="s">
        <v>182</v>
      </c>
      <c r="D1478" s="10" t="s">
        <v>11</v>
      </c>
      <c r="E1478" s="11" t="s">
        <v>39</v>
      </c>
      <c r="F1478" s="12">
        <v>42.2</v>
      </c>
      <c r="G1478" s="12">
        <f>F1478-'Estatística'!$D$6/'Estatística'!$D$10</f>
        <v>41.19698037</v>
      </c>
      <c r="H1478" s="13">
        <v>45200.0</v>
      </c>
      <c r="I1478" s="14" t="str">
        <f t="shared" si="1"/>
        <v>out.</v>
      </c>
      <c r="O1478" s="8"/>
    </row>
    <row r="1479" ht="15.75" customHeight="1">
      <c r="A1479" s="19">
        <v>36.0</v>
      </c>
      <c r="B1479" s="19" t="s">
        <v>92</v>
      </c>
      <c r="C1479" s="19" t="s">
        <v>93</v>
      </c>
      <c r="D1479" s="20" t="s">
        <v>11</v>
      </c>
      <c r="E1479" s="21" t="s">
        <v>39</v>
      </c>
      <c r="F1479" s="22">
        <v>32.9</v>
      </c>
      <c r="G1479" s="22">
        <f>F1479-'Estatística'!$D$6/'Estatística'!$D$10</f>
        <v>31.89698037</v>
      </c>
      <c r="H1479" s="23">
        <v>45200.0</v>
      </c>
      <c r="I1479" s="24" t="str">
        <f t="shared" si="1"/>
        <v>out.</v>
      </c>
      <c r="O1479" s="8"/>
    </row>
    <row r="1480" ht="15.75" customHeight="1">
      <c r="A1480" s="9">
        <v>7.0</v>
      </c>
      <c r="B1480" s="9" t="s">
        <v>114</v>
      </c>
      <c r="C1480" s="9" t="s">
        <v>115</v>
      </c>
      <c r="D1480" s="10" t="s">
        <v>11</v>
      </c>
      <c r="E1480" s="11" t="s">
        <v>88</v>
      </c>
      <c r="F1480" s="12">
        <v>38.84</v>
      </c>
      <c r="G1480" s="12">
        <f>F1480-'Estatística'!$D$6/'Estatística'!$D$10</f>
        <v>37.83698037</v>
      </c>
      <c r="H1480" s="13">
        <v>45200.0</v>
      </c>
      <c r="I1480" s="14" t="str">
        <f t="shared" si="1"/>
        <v>out.</v>
      </c>
      <c r="O1480" s="8"/>
    </row>
    <row r="1481" ht="15.75" customHeight="1">
      <c r="A1481" s="19">
        <v>48.0</v>
      </c>
      <c r="B1481" s="19" t="s">
        <v>41</v>
      </c>
      <c r="C1481" s="19" t="s">
        <v>45</v>
      </c>
      <c r="D1481" s="20" t="s">
        <v>30</v>
      </c>
      <c r="E1481" s="21" t="s">
        <v>60</v>
      </c>
      <c r="F1481" s="22">
        <v>40.21</v>
      </c>
      <c r="G1481" s="22">
        <f>F1481-'Estatística'!$D$6/'Estatística'!$D$10</f>
        <v>39.20698037</v>
      </c>
      <c r="H1481" s="23">
        <v>45200.0</v>
      </c>
      <c r="I1481" s="24" t="str">
        <f t="shared" si="1"/>
        <v>out.</v>
      </c>
      <c r="O1481" s="8"/>
    </row>
    <row r="1482" ht="15.75" customHeight="1">
      <c r="A1482" s="9">
        <v>96.0</v>
      </c>
      <c r="B1482" s="9" t="s">
        <v>163</v>
      </c>
      <c r="C1482" s="9" t="s">
        <v>164</v>
      </c>
      <c r="D1482" s="10" t="s">
        <v>11</v>
      </c>
      <c r="E1482" s="11" t="s">
        <v>85</v>
      </c>
      <c r="F1482" s="12">
        <v>16.95</v>
      </c>
      <c r="G1482" s="12">
        <f>F1482-'Estatística'!$D$6/'Estatística'!$D$10</f>
        <v>15.94698037</v>
      </c>
      <c r="H1482" s="13">
        <v>45200.0</v>
      </c>
      <c r="I1482" s="14" t="str">
        <f t="shared" si="1"/>
        <v>out.</v>
      </c>
      <c r="O1482" s="8"/>
    </row>
    <row r="1483" ht="15.75" customHeight="1">
      <c r="A1483" s="19">
        <v>59.0</v>
      </c>
      <c r="B1483" s="19" t="s">
        <v>103</v>
      </c>
      <c r="C1483" s="19" t="s">
        <v>104</v>
      </c>
      <c r="D1483" s="20" t="s">
        <v>30</v>
      </c>
      <c r="E1483" s="21" t="s">
        <v>50</v>
      </c>
      <c r="F1483" s="22">
        <v>28.87</v>
      </c>
      <c r="G1483" s="22">
        <f>F1483-'Estatística'!$D$6/'Estatística'!$D$10</f>
        <v>27.86698037</v>
      </c>
      <c r="H1483" s="23">
        <v>45201.0</v>
      </c>
      <c r="I1483" s="24" t="str">
        <f t="shared" si="1"/>
        <v>out.</v>
      </c>
      <c r="O1483" s="8"/>
    </row>
    <row r="1484" ht="15.75" customHeight="1">
      <c r="A1484" s="9">
        <v>48.0</v>
      </c>
      <c r="B1484" s="9" t="s">
        <v>41</v>
      </c>
      <c r="C1484" s="9" t="s">
        <v>45</v>
      </c>
      <c r="D1484" s="10" t="s">
        <v>30</v>
      </c>
      <c r="E1484" s="11" t="s">
        <v>60</v>
      </c>
      <c r="F1484" s="12">
        <v>56.8</v>
      </c>
      <c r="G1484" s="12">
        <f>F1484-'Estatística'!$D$6/'Estatística'!$D$10</f>
        <v>55.79698037</v>
      </c>
      <c r="H1484" s="13">
        <v>45201.0</v>
      </c>
      <c r="I1484" s="14" t="str">
        <f t="shared" si="1"/>
        <v>out.</v>
      </c>
      <c r="O1484" s="8"/>
    </row>
    <row r="1485" ht="15.75" customHeight="1">
      <c r="A1485" s="19">
        <v>95.0</v>
      </c>
      <c r="B1485" s="19" t="s">
        <v>110</v>
      </c>
      <c r="C1485" s="19" t="s">
        <v>111</v>
      </c>
      <c r="D1485" s="20" t="s">
        <v>11</v>
      </c>
      <c r="E1485" s="21" t="s">
        <v>12</v>
      </c>
      <c r="F1485" s="22">
        <v>10.33</v>
      </c>
      <c r="G1485" s="22">
        <f>F1485-'Estatística'!$D$6/'Estatística'!$D$10</f>
        <v>9.326980371</v>
      </c>
      <c r="H1485" s="23">
        <v>45201.0</v>
      </c>
      <c r="I1485" s="24" t="str">
        <f t="shared" si="1"/>
        <v>out.</v>
      </c>
      <c r="O1485" s="8"/>
    </row>
    <row r="1486" ht="15.75" customHeight="1">
      <c r="A1486" s="9">
        <v>75.0</v>
      </c>
      <c r="B1486" s="9" t="s">
        <v>238</v>
      </c>
      <c r="C1486" s="9" t="s">
        <v>239</v>
      </c>
      <c r="D1486" s="10" t="s">
        <v>11</v>
      </c>
      <c r="E1486" s="11" t="s">
        <v>68</v>
      </c>
      <c r="F1486" s="12">
        <v>19.84</v>
      </c>
      <c r="G1486" s="12">
        <f>F1486-'Estatística'!$D$6/'Estatística'!$D$10</f>
        <v>18.83698037</v>
      </c>
      <c r="H1486" s="13">
        <v>45201.0</v>
      </c>
      <c r="I1486" s="14" t="str">
        <f t="shared" si="1"/>
        <v>out.</v>
      </c>
      <c r="O1486" s="8"/>
    </row>
    <row r="1487" ht="15.75" customHeight="1">
      <c r="A1487" s="19">
        <v>36.0</v>
      </c>
      <c r="B1487" s="19" t="s">
        <v>92</v>
      </c>
      <c r="C1487" s="19" t="s">
        <v>93</v>
      </c>
      <c r="D1487" s="20" t="s">
        <v>30</v>
      </c>
      <c r="E1487" s="21" t="s">
        <v>94</v>
      </c>
      <c r="F1487" s="22">
        <v>29.44</v>
      </c>
      <c r="G1487" s="22">
        <f>F1487-'Estatística'!$D$6/'Estatística'!$D$10</f>
        <v>28.43698037</v>
      </c>
      <c r="H1487" s="23">
        <v>45201.0</v>
      </c>
      <c r="I1487" s="24" t="str">
        <f t="shared" si="1"/>
        <v>out.</v>
      </c>
      <c r="O1487" s="8"/>
    </row>
    <row r="1488" ht="15.75" customHeight="1">
      <c r="A1488" s="9">
        <v>54.0</v>
      </c>
      <c r="B1488" s="9" t="s">
        <v>86</v>
      </c>
      <c r="C1488" s="9" t="s">
        <v>87</v>
      </c>
      <c r="D1488" s="10" t="s">
        <v>11</v>
      </c>
      <c r="E1488" s="11" t="s">
        <v>91</v>
      </c>
      <c r="F1488" s="12">
        <v>3.41</v>
      </c>
      <c r="G1488" s="12">
        <f>F1488-'Estatística'!$D$6/'Estatística'!$D$10</f>
        <v>2.406980371</v>
      </c>
      <c r="H1488" s="13">
        <v>45202.0</v>
      </c>
      <c r="I1488" s="14" t="str">
        <f t="shared" si="1"/>
        <v>out.</v>
      </c>
      <c r="O1488" s="8"/>
    </row>
    <row r="1489" ht="15.75" customHeight="1">
      <c r="A1489" s="19">
        <v>78.0</v>
      </c>
      <c r="B1489" s="19" t="s">
        <v>28</v>
      </c>
      <c r="C1489" s="19" t="s">
        <v>29</v>
      </c>
      <c r="D1489" s="20" t="s">
        <v>30</v>
      </c>
      <c r="E1489" s="21" t="s">
        <v>56</v>
      </c>
      <c r="F1489" s="22">
        <v>59.4</v>
      </c>
      <c r="G1489" s="22">
        <f>F1489-'Estatística'!$D$6/'Estatística'!$D$10</f>
        <v>58.39698037</v>
      </c>
      <c r="H1489" s="23">
        <v>45202.0</v>
      </c>
      <c r="I1489" s="24" t="str">
        <f t="shared" si="1"/>
        <v>out.</v>
      </c>
      <c r="O1489" s="8"/>
    </row>
    <row r="1490" ht="15.75" customHeight="1">
      <c r="A1490" s="9">
        <v>55.0</v>
      </c>
      <c r="B1490" s="9" t="s">
        <v>202</v>
      </c>
      <c r="C1490" s="9" t="s">
        <v>203</v>
      </c>
      <c r="D1490" s="10" t="s">
        <v>11</v>
      </c>
      <c r="E1490" s="11" t="s">
        <v>46</v>
      </c>
      <c r="F1490" s="12">
        <v>13.21</v>
      </c>
      <c r="G1490" s="12">
        <f>F1490-'Estatística'!$D$6/'Estatística'!$D$10</f>
        <v>12.20698037</v>
      </c>
      <c r="H1490" s="13">
        <v>45202.0</v>
      </c>
      <c r="I1490" s="14" t="str">
        <f t="shared" si="1"/>
        <v>out.</v>
      </c>
      <c r="O1490" s="8"/>
    </row>
    <row r="1491" ht="15.75" customHeight="1">
      <c r="A1491" s="19">
        <v>91.0</v>
      </c>
      <c r="B1491" s="19" t="s">
        <v>112</v>
      </c>
      <c r="C1491" s="19" t="s">
        <v>113</v>
      </c>
      <c r="D1491" s="20" t="s">
        <v>11</v>
      </c>
      <c r="E1491" s="21" t="s">
        <v>50</v>
      </c>
      <c r="F1491" s="22">
        <v>31.62</v>
      </c>
      <c r="G1491" s="22">
        <f>F1491-'Estatística'!$D$6/'Estatística'!$D$10</f>
        <v>30.61698037</v>
      </c>
      <c r="H1491" s="23">
        <v>45202.0</v>
      </c>
      <c r="I1491" s="24" t="str">
        <f t="shared" si="1"/>
        <v>out.</v>
      </c>
      <c r="O1491" s="8"/>
    </row>
    <row r="1492" ht="15.75" customHeight="1">
      <c r="A1492" s="9">
        <v>42.0</v>
      </c>
      <c r="B1492" s="9" t="s">
        <v>92</v>
      </c>
      <c r="C1492" s="9" t="s">
        <v>170</v>
      </c>
      <c r="D1492" s="10" t="s">
        <v>11</v>
      </c>
      <c r="E1492" s="11" t="s">
        <v>56</v>
      </c>
      <c r="F1492" s="12">
        <v>60.83</v>
      </c>
      <c r="G1492" s="12">
        <f>F1492-'Estatística'!$D$6/'Estatística'!$D$10</f>
        <v>59.82698037</v>
      </c>
      <c r="H1492" s="13">
        <v>45202.0</v>
      </c>
      <c r="I1492" s="14" t="str">
        <f t="shared" si="1"/>
        <v>out.</v>
      </c>
      <c r="O1492" s="8"/>
    </row>
    <row r="1493" ht="15.75" customHeight="1">
      <c r="A1493" s="19">
        <v>2.0</v>
      </c>
      <c r="B1493" s="19" t="s">
        <v>83</v>
      </c>
      <c r="C1493" s="19" t="s">
        <v>84</v>
      </c>
      <c r="D1493" s="20" t="s">
        <v>11</v>
      </c>
      <c r="E1493" s="21" t="s">
        <v>56</v>
      </c>
      <c r="F1493" s="22">
        <v>63.19</v>
      </c>
      <c r="G1493" s="22">
        <f>F1493-'Estatística'!$D$6/'Estatística'!$D$10</f>
        <v>62.18698037</v>
      </c>
      <c r="H1493" s="23">
        <v>45202.0</v>
      </c>
      <c r="I1493" s="24" t="str">
        <f t="shared" si="1"/>
        <v>out.</v>
      </c>
      <c r="O1493" s="8"/>
    </row>
    <row r="1494" ht="15.75" customHeight="1">
      <c r="A1494" s="9">
        <v>65.0</v>
      </c>
      <c r="B1494" s="9" t="s">
        <v>209</v>
      </c>
      <c r="C1494" s="9" t="s">
        <v>210</v>
      </c>
      <c r="D1494" s="10" t="s">
        <v>30</v>
      </c>
      <c r="E1494" s="11" t="s">
        <v>60</v>
      </c>
      <c r="F1494" s="12">
        <v>42.19</v>
      </c>
      <c r="G1494" s="12">
        <f>F1494-'Estatística'!$D$6/'Estatística'!$D$10</f>
        <v>41.18698037</v>
      </c>
      <c r="H1494" s="13">
        <v>45203.0</v>
      </c>
      <c r="I1494" s="14" t="str">
        <f t="shared" si="1"/>
        <v>out.</v>
      </c>
      <c r="O1494" s="8"/>
    </row>
    <row r="1495" ht="15.75" customHeight="1">
      <c r="A1495" s="19">
        <v>95.0</v>
      </c>
      <c r="B1495" s="19" t="s">
        <v>110</v>
      </c>
      <c r="C1495" s="19" t="s">
        <v>111</v>
      </c>
      <c r="D1495" s="20" t="s">
        <v>11</v>
      </c>
      <c r="E1495" s="21" t="s">
        <v>76</v>
      </c>
      <c r="F1495" s="22">
        <v>11.09</v>
      </c>
      <c r="G1495" s="22">
        <f>F1495-'Estatística'!$D$6/'Estatística'!$D$10</f>
        <v>10.08698037</v>
      </c>
      <c r="H1495" s="23">
        <v>45203.0</v>
      </c>
      <c r="I1495" s="24" t="str">
        <f t="shared" si="1"/>
        <v>out.</v>
      </c>
      <c r="O1495" s="8"/>
    </row>
    <row r="1496" ht="15.75" customHeight="1">
      <c r="A1496" s="9">
        <v>100.0</v>
      </c>
      <c r="B1496" s="9" t="s">
        <v>48</v>
      </c>
      <c r="C1496" s="9" t="s">
        <v>49</v>
      </c>
      <c r="D1496" s="10" t="s">
        <v>11</v>
      </c>
      <c r="E1496" s="11" t="s">
        <v>79</v>
      </c>
      <c r="F1496" s="12">
        <v>36.69</v>
      </c>
      <c r="G1496" s="12">
        <f>F1496-'Estatística'!$D$6/'Estatística'!$D$10</f>
        <v>35.68698037</v>
      </c>
      <c r="H1496" s="13">
        <v>45203.0</v>
      </c>
      <c r="I1496" s="14" t="str">
        <f t="shared" si="1"/>
        <v>out.</v>
      </c>
      <c r="O1496" s="8"/>
    </row>
    <row r="1497" ht="15.75" customHeight="1">
      <c r="A1497" s="19">
        <v>98.0</v>
      </c>
      <c r="B1497" s="19" t="s">
        <v>159</v>
      </c>
      <c r="C1497" s="19" t="s">
        <v>196</v>
      </c>
      <c r="D1497" s="20" t="s">
        <v>11</v>
      </c>
      <c r="E1497" s="21" t="s">
        <v>35</v>
      </c>
      <c r="F1497" s="22">
        <v>17.55</v>
      </c>
      <c r="G1497" s="22">
        <f>F1497-'Estatística'!$D$6/'Estatística'!$D$10</f>
        <v>16.54698037</v>
      </c>
      <c r="H1497" s="23">
        <v>45203.0</v>
      </c>
      <c r="I1497" s="24" t="str">
        <f t="shared" si="1"/>
        <v>out.</v>
      </c>
      <c r="O1497" s="8"/>
    </row>
    <row r="1498" ht="15.75" customHeight="1">
      <c r="A1498" s="9">
        <v>64.0</v>
      </c>
      <c r="B1498" s="9" t="s">
        <v>159</v>
      </c>
      <c r="C1498" s="9" t="s">
        <v>160</v>
      </c>
      <c r="D1498" s="10" t="s">
        <v>11</v>
      </c>
      <c r="E1498" s="11" t="s">
        <v>39</v>
      </c>
      <c r="F1498" s="12">
        <v>41.41</v>
      </c>
      <c r="G1498" s="12">
        <f>F1498-'Estatística'!$D$6/'Estatística'!$D$10</f>
        <v>40.40698037</v>
      </c>
      <c r="H1498" s="13">
        <v>45204.0</v>
      </c>
      <c r="I1498" s="14" t="str">
        <f t="shared" si="1"/>
        <v>out.</v>
      </c>
      <c r="O1498" s="8"/>
    </row>
    <row r="1499" ht="15.75" customHeight="1">
      <c r="A1499" s="19">
        <v>18.0</v>
      </c>
      <c r="B1499" s="19" t="s">
        <v>163</v>
      </c>
      <c r="C1499" s="19" t="s">
        <v>240</v>
      </c>
      <c r="D1499" s="20" t="s">
        <v>11</v>
      </c>
      <c r="E1499" s="21" t="s">
        <v>82</v>
      </c>
      <c r="F1499" s="22">
        <v>12.97</v>
      </c>
      <c r="G1499" s="22">
        <f>F1499-'Estatística'!$D$6/'Estatística'!$D$10</f>
        <v>11.96698037</v>
      </c>
      <c r="H1499" s="23">
        <v>45204.0</v>
      </c>
      <c r="I1499" s="24" t="str">
        <f t="shared" si="1"/>
        <v>out.</v>
      </c>
      <c r="O1499" s="8"/>
    </row>
    <row r="1500" ht="15.75" customHeight="1">
      <c r="A1500" s="9">
        <v>75.0</v>
      </c>
      <c r="B1500" s="9" t="s">
        <v>238</v>
      </c>
      <c r="C1500" s="9" t="s">
        <v>239</v>
      </c>
      <c r="D1500" s="10" t="s">
        <v>30</v>
      </c>
      <c r="E1500" s="11" t="s">
        <v>85</v>
      </c>
      <c r="F1500" s="12">
        <v>14.93</v>
      </c>
      <c r="G1500" s="12">
        <f>F1500-'Estatística'!$D$6/'Estatística'!$D$10</f>
        <v>13.92698037</v>
      </c>
      <c r="H1500" s="13">
        <v>45204.0</v>
      </c>
      <c r="I1500" s="14" t="str">
        <f t="shared" si="1"/>
        <v>out.</v>
      </c>
      <c r="O1500" s="8"/>
    </row>
    <row r="1501" ht="15.75" customHeight="1">
      <c r="A1501" s="19">
        <v>38.0</v>
      </c>
      <c r="B1501" s="19" t="s">
        <v>116</v>
      </c>
      <c r="C1501" s="19" t="s">
        <v>117</v>
      </c>
      <c r="D1501" s="20" t="s">
        <v>11</v>
      </c>
      <c r="E1501" s="21" t="s">
        <v>72</v>
      </c>
      <c r="F1501" s="22">
        <v>16.33</v>
      </c>
      <c r="G1501" s="22">
        <f>F1501-'Estatística'!$D$6/'Estatística'!$D$10</f>
        <v>15.32698037</v>
      </c>
      <c r="H1501" s="23">
        <v>45204.0</v>
      </c>
      <c r="I1501" s="24" t="str">
        <f t="shared" si="1"/>
        <v>out.</v>
      </c>
      <c r="O1501" s="8"/>
    </row>
    <row r="1502" ht="15.75" customHeight="1">
      <c r="A1502" s="9">
        <v>22.0</v>
      </c>
      <c r="B1502" s="9" t="s">
        <v>131</v>
      </c>
      <c r="C1502" s="9" t="s">
        <v>132</v>
      </c>
      <c r="D1502" s="10" t="s">
        <v>11</v>
      </c>
      <c r="E1502" s="11" t="s">
        <v>97</v>
      </c>
      <c r="F1502" s="12">
        <v>2.43</v>
      </c>
      <c r="G1502" s="12">
        <f>F1502-'Estatística'!$D$6/'Estatística'!$D$10</f>
        <v>1.426980371</v>
      </c>
      <c r="H1502" s="13">
        <v>45204.0</v>
      </c>
      <c r="I1502" s="14" t="str">
        <f t="shared" si="1"/>
        <v>out.</v>
      </c>
      <c r="O1502" s="8"/>
    </row>
    <row r="1503" ht="15.75" customHeight="1">
      <c r="A1503" s="19">
        <v>8.0</v>
      </c>
      <c r="B1503" s="19" t="s">
        <v>108</v>
      </c>
      <c r="C1503" s="19" t="s">
        <v>109</v>
      </c>
      <c r="D1503" s="20" t="s">
        <v>11</v>
      </c>
      <c r="E1503" s="21" t="s">
        <v>39</v>
      </c>
      <c r="F1503" s="22">
        <v>25.01</v>
      </c>
      <c r="G1503" s="22">
        <f>F1503-'Estatística'!$D$6/'Estatística'!$D$10</f>
        <v>24.00698037</v>
      </c>
      <c r="H1503" s="23">
        <v>45205.0</v>
      </c>
      <c r="I1503" s="24" t="str">
        <f t="shared" si="1"/>
        <v>out.</v>
      </c>
      <c r="O1503" s="8"/>
    </row>
    <row r="1504" ht="15.75" customHeight="1">
      <c r="A1504" s="9">
        <v>1.0</v>
      </c>
      <c r="B1504" s="9" t="s">
        <v>194</v>
      </c>
      <c r="C1504" s="9" t="s">
        <v>195</v>
      </c>
      <c r="D1504" s="10" t="s">
        <v>30</v>
      </c>
      <c r="E1504" s="11" t="s">
        <v>82</v>
      </c>
      <c r="F1504" s="12">
        <v>15.01</v>
      </c>
      <c r="G1504" s="12">
        <f>F1504-'Estatística'!$D$6/'Estatística'!$D$10</f>
        <v>14.00698037</v>
      </c>
      <c r="H1504" s="13">
        <v>45205.0</v>
      </c>
      <c r="I1504" s="14" t="str">
        <f t="shared" si="1"/>
        <v>out.</v>
      </c>
      <c r="O1504" s="8"/>
    </row>
    <row r="1505" ht="15.75" customHeight="1">
      <c r="A1505" s="19">
        <v>31.0</v>
      </c>
      <c r="B1505" s="19" t="s">
        <v>229</v>
      </c>
      <c r="C1505" s="19" t="s">
        <v>230</v>
      </c>
      <c r="D1505" s="20" t="s">
        <v>11</v>
      </c>
      <c r="E1505" s="21" t="s">
        <v>88</v>
      </c>
      <c r="F1505" s="22">
        <v>34.7</v>
      </c>
      <c r="G1505" s="22">
        <f>F1505-'Estatística'!$D$6/'Estatística'!$D$10</f>
        <v>33.69698037</v>
      </c>
      <c r="H1505" s="23">
        <v>45205.0</v>
      </c>
      <c r="I1505" s="24" t="str">
        <f t="shared" si="1"/>
        <v>out.</v>
      </c>
      <c r="O1505" s="8"/>
    </row>
    <row r="1506" ht="15.75" customHeight="1">
      <c r="A1506" s="9">
        <v>8.0</v>
      </c>
      <c r="B1506" s="9" t="s">
        <v>108</v>
      </c>
      <c r="C1506" s="9" t="s">
        <v>109</v>
      </c>
      <c r="D1506" s="10" t="s">
        <v>11</v>
      </c>
      <c r="E1506" s="11" t="s">
        <v>85</v>
      </c>
      <c r="F1506" s="12">
        <v>15.98</v>
      </c>
      <c r="G1506" s="12">
        <f>F1506-'Estatística'!$D$6/'Estatística'!$D$10</f>
        <v>14.97698037</v>
      </c>
      <c r="H1506" s="13">
        <v>45205.0</v>
      </c>
      <c r="I1506" s="14" t="str">
        <f t="shared" si="1"/>
        <v>out.</v>
      </c>
      <c r="O1506" s="8"/>
    </row>
    <row r="1507" ht="15.75" customHeight="1">
      <c r="A1507" s="19">
        <v>95.0</v>
      </c>
      <c r="B1507" s="19" t="s">
        <v>110</v>
      </c>
      <c r="C1507" s="19" t="s">
        <v>111</v>
      </c>
      <c r="D1507" s="20" t="s">
        <v>30</v>
      </c>
      <c r="E1507" s="21" t="s">
        <v>72</v>
      </c>
      <c r="F1507" s="22">
        <v>15.8</v>
      </c>
      <c r="G1507" s="22">
        <f>F1507-'Estatística'!$D$6/'Estatística'!$D$10</f>
        <v>14.79698037</v>
      </c>
      <c r="H1507" s="23">
        <v>45206.0</v>
      </c>
      <c r="I1507" s="24" t="str">
        <f t="shared" si="1"/>
        <v>out.</v>
      </c>
      <c r="O1507" s="8"/>
    </row>
    <row r="1508" ht="15.75" customHeight="1">
      <c r="A1508" s="9">
        <v>10.0</v>
      </c>
      <c r="B1508" s="9" t="s">
        <v>148</v>
      </c>
      <c r="C1508" s="9" t="s">
        <v>149</v>
      </c>
      <c r="D1508" s="10" t="s">
        <v>11</v>
      </c>
      <c r="E1508" s="11" t="s">
        <v>94</v>
      </c>
      <c r="F1508" s="12">
        <v>26.54</v>
      </c>
      <c r="G1508" s="12">
        <f>F1508-'Estatística'!$D$6/'Estatística'!$D$10</f>
        <v>25.53698037</v>
      </c>
      <c r="H1508" s="13">
        <v>45206.0</v>
      </c>
      <c r="I1508" s="14" t="str">
        <f t="shared" si="1"/>
        <v>out.</v>
      </c>
      <c r="O1508" s="8"/>
    </row>
    <row r="1509" ht="15.75" customHeight="1">
      <c r="A1509" s="19">
        <v>70.0</v>
      </c>
      <c r="B1509" s="19" t="s">
        <v>152</v>
      </c>
      <c r="C1509" s="19" t="s">
        <v>153</v>
      </c>
      <c r="D1509" s="20" t="s">
        <v>30</v>
      </c>
      <c r="E1509" s="21" t="s">
        <v>72</v>
      </c>
      <c r="F1509" s="22">
        <v>15.07</v>
      </c>
      <c r="G1509" s="22">
        <f>F1509-'Estatística'!$D$6/'Estatística'!$D$10</f>
        <v>14.06698037</v>
      </c>
      <c r="H1509" s="23">
        <v>45207.0</v>
      </c>
      <c r="I1509" s="24" t="str">
        <f t="shared" si="1"/>
        <v>out.</v>
      </c>
      <c r="O1509" s="8"/>
    </row>
    <row r="1510" ht="15.75" customHeight="1">
      <c r="A1510" s="9">
        <v>34.0</v>
      </c>
      <c r="B1510" s="9" t="s">
        <v>177</v>
      </c>
      <c r="C1510" s="9" t="s">
        <v>178</v>
      </c>
      <c r="D1510" s="10" t="s">
        <v>11</v>
      </c>
      <c r="E1510" s="11" t="s">
        <v>31</v>
      </c>
      <c r="F1510" s="12">
        <v>48.85</v>
      </c>
      <c r="G1510" s="12">
        <f>F1510-'Estatística'!$D$6/'Estatística'!$D$10</f>
        <v>47.84698037</v>
      </c>
      <c r="H1510" s="13">
        <v>45207.0</v>
      </c>
      <c r="I1510" s="14" t="str">
        <f t="shared" si="1"/>
        <v>out.</v>
      </c>
      <c r="O1510" s="8"/>
    </row>
    <row r="1511" ht="15.75" customHeight="1">
      <c r="A1511" s="19">
        <v>50.0</v>
      </c>
      <c r="B1511" s="19" t="s">
        <v>33</v>
      </c>
      <c r="C1511" s="19" t="s">
        <v>34</v>
      </c>
      <c r="D1511" s="20" t="s">
        <v>30</v>
      </c>
      <c r="E1511" s="21" t="s">
        <v>88</v>
      </c>
      <c r="F1511" s="22">
        <v>36.61</v>
      </c>
      <c r="G1511" s="22">
        <f>F1511-'Estatística'!$D$6/'Estatística'!$D$10</f>
        <v>35.60698037</v>
      </c>
      <c r="H1511" s="23">
        <v>45208.0</v>
      </c>
      <c r="I1511" s="24" t="str">
        <f t="shared" si="1"/>
        <v>out.</v>
      </c>
      <c r="O1511" s="8"/>
    </row>
    <row r="1512" ht="15.75" customHeight="1">
      <c r="A1512" s="9">
        <v>62.0</v>
      </c>
      <c r="B1512" s="9" t="s">
        <v>156</v>
      </c>
      <c r="C1512" s="9" t="s">
        <v>157</v>
      </c>
      <c r="D1512" s="10" t="s">
        <v>11</v>
      </c>
      <c r="E1512" s="11" t="s">
        <v>82</v>
      </c>
      <c r="F1512" s="12">
        <v>11.7</v>
      </c>
      <c r="G1512" s="12">
        <f>F1512-'Estatística'!$D$6/'Estatística'!$D$10</f>
        <v>10.69698037</v>
      </c>
      <c r="H1512" s="13">
        <v>45208.0</v>
      </c>
      <c r="I1512" s="14" t="str">
        <f t="shared" si="1"/>
        <v>out.</v>
      </c>
      <c r="O1512" s="8"/>
    </row>
    <row r="1513" ht="15.75" customHeight="1">
      <c r="A1513" s="19">
        <v>19.0</v>
      </c>
      <c r="B1513" s="19" t="s">
        <v>41</v>
      </c>
      <c r="C1513" s="19" t="s">
        <v>193</v>
      </c>
      <c r="D1513" s="20" t="s">
        <v>30</v>
      </c>
      <c r="E1513" s="21" t="s">
        <v>52</v>
      </c>
      <c r="F1513" s="22">
        <v>58.94</v>
      </c>
      <c r="G1513" s="22">
        <f>F1513-'Estatística'!$D$6/'Estatística'!$D$10</f>
        <v>57.93698037</v>
      </c>
      <c r="H1513" s="23">
        <v>45208.0</v>
      </c>
      <c r="I1513" s="24" t="str">
        <f t="shared" si="1"/>
        <v>out.</v>
      </c>
      <c r="O1513" s="8"/>
    </row>
    <row r="1514" ht="15.75" customHeight="1">
      <c r="A1514" s="9">
        <v>4.0</v>
      </c>
      <c r="B1514" s="9" t="s">
        <v>118</v>
      </c>
      <c r="C1514" s="9" t="s">
        <v>119</v>
      </c>
      <c r="D1514" s="10" t="s">
        <v>11</v>
      </c>
      <c r="E1514" s="11" t="s">
        <v>82</v>
      </c>
      <c r="F1514" s="12">
        <v>10.56</v>
      </c>
      <c r="G1514" s="12">
        <f>F1514-'Estatística'!$D$6/'Estatística'!$D$10</f>
        <v>9.556980371</v>
      </c>
      <c r="H1514" s="13">
        <v>45208.0</v>
      </c>
      <c r="I1514" s="14" t="str">
        <f t="shared" si="1"/>
        <v>out.</v>
      </c>
      <c r="O1514" s="8"/>
    </row>
    <row r="1515" ht="15.75" customHeight="1">
      <c r="A1515" s="19">
        <v>77.0</v>
      </c>
      <c r="B1515" s="19" t="s">
        <v>9</v>
      </c>
      <c r="C1515" s="19" t="s">
        <v>169</v>
      </c>
      <c r="D1515" s="20" t="s">
        <v>11</v>
      </c>
      <c r="E1515" s="21" t="s">
        <v>46</v>
      </c>
      <c r="F1515" s="22">
        <v>14.21</v>
      </c>
      <c r="G1515" s="22">
        <f>F1515-'Estatística'!$D$6/'Estatística'!$D$10</f>
        <v>13.20698037</v>
      </c>
      <c r="H1515" s="23">
        <v>45208.0</v>
      </c>
      <c r="I1515" s="24" t="str">
        <f t="shared" si="1"/>
        <v>out.</v>
      </c>
      <c r="O1515" s="8"/>
    </row>
    <row r="1516" ht="15.75" customHeight="1">
      <c r="A1516" s="9">
        <v>76.0</v>
      </c>
      <c r="B1516" s="9" t="s">
        <v>213</v>
      </c>
      <c r="C1516" s="9" t="s">
        <v>214</v>
      </c>
      <c r="D1516" s="10" t="s">
        <v>11</v>
      </c>
      <c r="E1516" s="11" t="s">
        <v>50</v>
      </c>
      <c r="F1516" s="12">
        <v>34.16</v>
      </c>
      <c r="G1516" s="12">
        <f>F1516-'Estatística'!$D$6/'Estatística'!$D$10</f>
        <v>33.15698037</v>
      </c>
      <c r="H1516" s="13">
        <v>45209.0</v>
      </c>
      <c r="I1516" s="14" t="str">
        <f t="shared" si="1"/>
        <v>out.</v>
      </c>
      <c r="O1516" s="8"/>
    </row>
    <row r="1517" ht="15.75" customHeight="1">
      <c r="A1517" s="19">
        <v>77.0</v>
      </c>
      <c r="B1517" s="19" t="s">
        <v>9</v>
      </c>
      <c r="C1517" s="19" t="s">
        <v>169</v>
      </c>
      <c r="D1517" s="20" t="s">
        <v>11</v>
      </c>
      <c r="E1517" s="21" t="s">
        <v>60</v>
      </c>
      <c r="F1517" s="22">
        <v>47.91</v>
      </c>
      <c r="G1517" s="22">
        <f>F1517-'Estatística'!$D$6/'Estatística'!$D$10</f>
        <v>46.90698037</v>
      </c>
      <c r="H1517" s="23">
        <v>45209.0</v>
      </c>
      <c r="I1517" s="24" t="str">
        <f t="shared" si="1"/>
        <v>out.</v>
      </c>
      <c r="O1517" s="8"/>
    </row>
    <row r="1518" ht="15.75" customHeight="1">
      <c r="A1518" s="9">
        <v>14.0</v>
      </c>
      <c r="B1518" s="9" t="s">
        <v>171</v>
      </c>
      <c r="C1518" s="9" t="s">
        <v>172</v>
      </c>
      <c r="D1518" s="10" t="s">
        <v>30</v>
      </c>
      <c r="E1518" s="11" t="s">
        <v>85</v>
      </c>
      <c r="F1518" s="12">
        <v>16.37</v>
      </c>
      <c r="G1518" s="12">
        <f>F1518-'Estatística'!$D$6/'Estatística'!$D$10</f>
        <v>15.36698037</v>
      </c>
      <c r="H1518" s="13">
        <v>45209.0</v>
      </c>
      <c r="I1518" s="14" t="str">
        <f t="shared" si="1"/>
        <v>out.</v>
      </c>
      <c r="O1518" s="8"/>
    </row>
    <row r="1519" ht="15.75" customHeight="1">
      <c r="A1519" s="19">
        <v>92.0</v>
      </c>
      <c r="B1519" s="19" t="s">
        <v>112</v>
      </c>
      <c r="C1519" s="19" t="s">
        <v>197</v>
      </c>
      <c r="D1519" s="20" t="s">
        <v>11</v>
      </c>
      <c r="E1519" s="21" t="s">
        <v>39</v>
      </c>
      <c r="F1519" s="22">
        <v>38.65</v>
      </c>
      <c r="G1519" s="22">
        <f>F1519-'Estatística'!$D$6/'Estatística'!$D$10</f>
        <v>37.64698037</v>
      </c>
      <c r="H1519" s="23">
        <v>45209.0</v>
      </c>
      <c r="I1519" s="24" t="str">
        <f t="shared" si="1"/>
        <v>out.</v>
      </c>
      <c r="O1519" s="8"/>
    </row>
    <row r="1520" ht="15.75" customHeight="1">
      <c r="A1520" s="9">
        <v>26.0</v>
      </c>
      <c r="B1520" s="9" t="s">
        <v>211</v>
      </c>
      <c r="C1520" s="9" t="s">
        <v>212</v>
      </c>
      <c r="D1520" s="10" t="s">
        <v>30</v>
      </c>
      <c r="E1520" s="11" t="s">
        <v>46</v>
      </c>
      <c r="F1520" s="12">
        <v>14.13</v>
      </c>
      <c r="G1520" s="12">
        <f>F1520-'Estatística'!$D$6/'Estatística'!$D$10</f>
        <v>13.12698037</v>
      </c>
      <c r="H1520" s="13">
        <v>45209.0</v>
      </c>
      <c r="I1520" s="14" t="str">
        <f t="shared" si="1"/>
        <v>out.</v>
      </c>
      <c r="O1520" s="8"/>
    </row>
    <row r="1521" ht="15.75" customHeight="1">
      <c r="A1521" s="19">
        <v>87.0</v>
      </c>
      <c r="B1521" s="19" t="s">
        <v>243</v>
      </c>
      <c r="C1521" s="19" t="s">
        <v>244</v>
      </c>
      <c r="D1521" s="20" t="s">
        <v>30</v>
      </c>
      <c r="E1521" s="21" t="s">
        <v>39</v>
      </c>
      <c r="F1521" s="22">
        <v>22.02</v>
      </c>
      <c r="G1521" s="22">
        <f>F1521-'Estatística'!$D$6/'Estatística'!$D$10</f>
        <v>21.01698037</v>
      </c>
      <c r="H1521" s="23">
        <v>45210.0</v>
      </c>
      <c r="I1521" s="24" t="str">
        <f t="shared" si="1"/>
        <v>out.</v>
      </c>
      <c r="O1521" s="8"/>
    </row>
    <row r="1522" ht="15.75" customHeight="1">
      <c r="A1522" s="9">
        <v>70.0</v>
      </c>
      <c r="B1522" s="9" t="s">
        <v>152</v>
      </c>
      <c r="C1522" s="9" t="s">
        <v>153</v>
      </c>
      <c r="D1522" s="10" t="s">
        <v>30</v>
      </c>
      <c r="E1522" s="11" t="s">
        <v>50</v>
      </c>
      <c r="F1522" s="12">
        <v>28.17</v>
      </c>
      <c r="G1522" s="12">
        <f>F1522-'Estatística'!$D$6/'Estatística'!$D$10</f>
        <v>27.16698037</v>
      </c>
      <c r="H1522" s="13">
        <v>45210.0</v>
      </c>
      <c r="I1522" s="14" t="str">
        <f t="shared" si="1"/>
        <v>out.</v>
      </c>
      <c r="O1522" s="8"/>
    </row>
    <row r="1523" ht="15.75" customHeight="1">
      <c r="A1523" s="19">
        <v>11.0</v>
      </c>
      <c r="B1523" s="19" t="s">
        <v>227</v>
      </c>
      <c r="C1523" s="19" t="s">
        <v>228</v>
      </c>
      <c r="D1523" s="20" t="s">
        <v>11</v>
      </c>
      <c r="E1523" s="21" t="s">
        <v>39</v>
      </c>
      <c r="F1523" s="22">
        <v>18.22</v>
      </c>
      <c r="G1523" s="22">
        <f>F1523-'Estatística'!$D$6/'Estatística'!$D$10</f>
        <v>17.21698037</v>
      </c>
      <c r="H1523" s="23">
        <v>45210.0</v>
      </c>
      <c r="I1523" s="24" t="str">
        <f t="shared" si="1"/>
        <v>out.</v>
      </c>
      <c r="O1523" s="8"/>
    </row>
    <row r="1524" ht="15.75" customHeight="1">
      <c r="A1524" s="9">
        <v>87.0</v>
      </c>
      <c r="B1524" s="9" t="s">
        <v>243</v>
      </c>
      <c r="C1524" s="9" t="s">
        <v>244</v>
      </c>
      <c r="D1524" s="10" t="s">
        <v>30</v>
      </c>
      <c r="E1524" s="11" t="s">
        <v>31</v>
      </c>
      <c r="F1524" s="12">
        <v>54.78</v>
      </c>
      <c r="G1524" s="12">
        <f>F1524-'Estatística'!$D$6/'Estatística'!$D$10</f>
        <v>53.77698037</v>
      </c>
      <c r="H1524" s="13">
        <v>45211.0</v>
      </c>
      <c r="I1524" s="14" t="str">
        <f t="shared" si="1"/>
        <v>out.</v>
      </c>
      <c r="O1524" s="8"/>
    </row>
    <row r="1525" ht="15.75" customHeight="1">
      <c r="A1525" s="19">
        <v>6.0</v>
      </c>
      <c r="B1525" s="19" t="s">
        <v>183</v>
      </c>
      <c r="C1525" s="19" t="s">
        <v>184</v>
      </c>
      <c r="D1525" s="20" t="s">
        <v>11</v>
      </c>
      <c r="E1525" s="21" t="s">
        <v>56</v>
      </c>
      <c r="F1525" s="22">
        <v>69.22</v>
      </c>
      <c r="G1525" s="22">
        <f>F1525-'Estatística'!$D$6/'Estatística'!$D$10</f>
        <v>68.21698037</v>
      </c>
      <c r="H1525" s="23">
        <v>45211.0</v>
      </c>
      <c r="I1525" s="24" t="str">
        <f t="shared" si="1"/>
        <v>out.</v>
      </c>
      <c r="O1525" s="8"/>
    </row>
    <row r="1526" ht="15.75" customHeight="1">
      <c r="A1526" s="9">
        <v>38.0</v>
      </c>
      <c r="B1526" s="9" t="s">
        <v>116</v>
      </c>
      <c r="C1526" s="9" t="s">
        <v>117</v>
      </c>
      <c r="D1526" s="10" t="s">
        <v>11</v>
      </c>
      <c r="E1526" s="11" t="s">
        <v>91</v>
      </c>
      <c r="F1526" s="12">
        <v>2.57</v>
      </c>
      <c r="G1526" s="12">
        <f>F1526-'Estatística'!$D$6/'Estatística'!$D$10</f>
        <v>1.566980371</v>
      </c>
      <c r="H1526" s="13">
        <v>45211.0</v>
      </c>
      <c r="I1526" s="14" t="str">
        <f t="shared" si="1"/>
        <v>out.</v>
      </c>
      <c r="O1526" s="8"/>
    </row>
    <row r="1527" ht="15.75" customHeight="1">
      <c r="A1527" s="19">
        <v>73.0</v>
      </c>
      <c r="B1527" s="19" t="s">
        <v>223</v>
      </c>
      <c r="C1527" s="19" t="s">
        <v>224</v>
      </c>
      <c r="D1527" s="20" t="s">
        <v>30</v>
      </c>
      <c r="E1527" s="21" t="s">
        <v>12</v>
      </c>
      <c r="F1527" s="22">
        <v>10.16</v>
      </c>
      <c r="G1527" s="22">
        <f>F1527-'Estatística'!$D$6/'Estatística'!$D$10</f>
        <v>9.156980371</v>
      </c>
      <c r="H1527" s="23">
        <v>45211.0</v>
      </c>
      <c r="I1527" s="24" t="str">
        <f t="shared" si="1"/>
        <v>out.</v>
      </c>
      <c r="O1527" s="8"/>
    </row>
    <row r="1528" ht="15.75" customHeight="1">
      <c r="A1528" s="9">
        <v>11.0</v>
      </c>
      <c r="B1528" s="9" t="s">
        <v>227</v>
      </c>
      <c r="C1528" s="9" t="s">
        <v>228</v>
      </c>
      <c r="D1528" s="10" t="s">
        <v>30</v>
      </c>
      <c r="E1528" s="11" t="s">
        <v>91</v>
      </c>
      <c r="F1528" s="12">
        <v>1.84</v>
      </c>
      <c r="G1528" s="12">
        <f>F1528-'Estatística'!$D$6/'Estatística'!$D$10</f>
        <v>0.8369803714</v>
      </c>
      <c r="H1528" s="13">
        <v>45211.0</v>
      </c>
      <c r="I1528" s="14" t="str">
        <f t="shared" si="1"/>
        <v>out.</v>
      </c>
      <c r="O1528" s="8"/>
    </row>
    <row r="1529" ht="15.75" customHeight="1">
      <c r="A1529" s="19">
        <v>47.0</v>
      </c>
      <c r="B1529" s="19" t="s">
        <v>120</v>
      </c>
      <c r="C1529" s="19" t="s">
        <v>121</v>
      </c>
      <c r="D1529" s="20" t="s">
        <v>11</v>
      </c>
      <c r="E1529" s="21" t="s">
        <v>85</v>
      </c>
      <c r="F1529" s="22">
        <v>15.2</v>
      </c>
      <c r="G1529" s="22">
        <f>F1529-'Estatística'!$D$6/'Estatística'!$D$10</f>
        <v>14.19698037</v>
      </c>
      <c r="H1529" s="23">
        <v>45211.0</v>
      </c>
      <c r="I1529" s="24" t="str">
        <f t="shared" si="1"/>
        <v>out.</v>
      </c>
      <c r="O1529" s="8"/>
    </row>
    <row r="1530" ht="15.75" customHeight="1">
      <c r="A1530" s="9">
        <v>98.0</v>
      </c>
      <c r="B1530" s="9" t="s">
        <v>159</v>
      </c>
      <c r="C1530" s="9" t="s">
        <v>196</v>
      </c>
      <c r="D1530" s="10" t="s">
        <v>11</v>
      </c>
      <c r="E1530" s="11" t="s">
        <v>43</v>
      </c>
      <c r="F1530" s="12">
        <v>17.91</v>
      </c>
      <c r="G1530" s="12">
        <f>F1530-'Estatística'!$D$6/'Estatística'!$D$10</f>
        <v>16.90698037</v>
      </c>
      <c r="H1530" s="13">
        <v>45211.0</v>
      </c>
      <c r="I1530" s="14" t="str">
        <f t="shared" si="1"/>
        <v>out.</v>
      </c>
      <c r="O1530" s="8"/>
    </row>
    <row r="1531" ht="15.75" customHeight="1">
      <c r="A1531" s="19">
        <v>90.0</v>
      </c>
      <c r="B1531" s="19" t="s">
        <v>219</v>
      </c>
      <c r="C1531" s="19" t="s">
        <v>220</v>
      </c>
      <c r="D1531" s="20" t="s">
        <v>30</v>
      </c>
      <c r="E1531" s="21" t="s">
        <v>35</v>
      </c>
      <c r="F1531" s="22">
        <v>15.09</v>
      </c>
      <c r="G1531" s="22">
        <f>F1531-'Estatística'!$D$6/'Estatística'!$D$10</f>
        <v>14.08698037</v>
      </c>
      <c r="H1531" s="23">
        <v>45211.0</v>
      </c>
      <c r="I1531" s="24" t="str">
        <f t="shared" si="1"/>
        <v>out.</v>
      </c>
      <c r="O1531" s="8"/>
    </row>
    <row r="1532" ht="15.75" customHeight="1">
      <c r="A1532" s="9">
        <v>52.0</v>
      </c>
      <c r="B1532" s="9" t="s">
        <v>181</v>
      </c>
      <c r="C1532" s="9" t="s">
        <v>182</v>
      </c>
      <c r="D1532" s="10" t="s">
        <v>11</v>
      </c>
      <c r="E1532" s="11" t="s">
        <v>88</v>
      </c>
      <c r="F1532" s="12">
        <v>41.14</v>
      </c>
      <c r="G1532" s="12">
        <f>F1532-'Estatística'!$D$6/'Estatística'!$D$10</f>
        <v>40.13698037</v>
      </c>
      <c r="H1532" s="13">
        <v>45212.0</v>
      </c>
      <c r="I1532" s="14" t="str">
        <f t="shared" si="1"/>
        <v>out.</v>
      </c>
      <c r="O1532" s="8"/>
    </row>
    <row r="1533" ht="15.75" customHeight="1">
      <c r="A1533" s="19">
        <v>18.0</v>
      </c>
      <c r="B1533" s="19" t="s">
        <v>163</v>
      </c>
      <c r="C1533" s="19" t="s">
        <v>240</v>
      </c>
      <c r="D1533" s="20" t="s">
        <v>30</v>
      </c>
      <c r="E1533" s="21" t="s">
        <v>52</v>
      </c>
      <c r="F1533" s="22">
        <v>66.92</v>
      </c>
      <c r="G1533" s="22">
        <f>F1533-'Estatística'!$D$6/'Estatística'!$D$10</f>
        <v>65.91698037</v>
      </c>
      <c r="H1533" s="23">
        <v>45212.0</v>
      </c>
      <c r="I1533" s="24" t="str">
        <f t="shared" si="1"/>
        <v>out.</v>
      </c>
      <c r="O1533" s="8"/>
    </row>
    <row r="1534" ht="15.75" customHeight="1">
      <c r="A1534" s="9">
        <v>9.0</v>
      </c>
      <c r="B1534" s="9" t="s">
        <v>207</v>
      </c>
      <c r="C1534" s="9" t="s">
        <v>208</v>
      </c>
      <c r="D1534" s="10" t="s">
        <v>11</v>
      </c>
      <c r="E1534" s="11" t="s">
        <v>97</v>
      </c>
      <c r="F1534" s="12">
        <v>2.52</v>
      </c>
      <c r="G1534" s="12">
        <f>F1534-'Estatística'!$D$6/'Estatística'!$D$10</f>
        <v>1.516980371</v>
      </c>
      <c r="H1534" s="13">
        <v>45212.0</v>
      </c>
      <c r="I1534" s="14" t="str">
        <f t="shared" si="1"/>
        <v>out.</v>
      </c>
      <c r="O1534" s="8"/>
    </row>
    <row r="1535" ht="15.75" customHeight="1">
      <c r="A1535" s="19">
        <v>56.0</v>
      </c>
      <c r="B1535" s="19" t="s">
        <v>127</v>
      </c>
      <c r="C1535" s="19" t="s">
        <v>128</v>
      </c>
      <c r="D1535" s="20" t="s">
        <v>30</v>
      </c>
      <c r="E1535" s="21" t="s">
        <v>85</v>
      </c>
      <c r="F1535" s="22">
        <v>15.74</v>
      </c>
      <c r="G1535" s="22">
        <f>F1535-'Estatística'!$D$6/'Estatística'!$D$10</f>
        <v>14.73698037</v>
      </c>
      <c r="H1535" s="23">
        <v>45212.0</v>
      </c>
      <c r="I1535" s="24" t="str">
        <f t="shared" si="1"/>
        <v>out.</v>
      </c>
      <c r="O1535" s="8"/>
    </row>
    <row r="1536" ht="15.75" customHeight="1">
      <c r="A1536" s="9">
        <v>90.0</v>
      </c>
      <c r="B1536" s="9" t="s">
        <v>219</v>
      </c>
      <c r="C1536" s="9" t="s">
        <v>220</v>
      </c>
      <c r="D1536" s="10" t="s">
        <v>30</v>
      </c>
      <c r="E1536" s="11" t="s">
        <v>35</v>
      </c>
      <c r="F1536" s="12">
        <v>14.32</v>
      </c>
      <c r="G1536" s="12">
        <f>F1536-'Estatística'!$D$6/'Estatística'!$D$10</f>
        <v>13.31698037</v>
      </c>
      <c r="H1536" s="13">
        <v>45212.0</v>
      </c>
      <c r="I1536" s="14" t="str">
        <f t="shared" si="1"/>
        <v>out.</v>
      </c>
      <c r="O1536" s="8"/>
    </row>
    <row r="1537" ht="15.75" customHeight="1">
      <c r="A1537" s="19">
        <v>10.0</v>
      </c>
      <c r="B1537" s="19" t="s">
        <v>148</v>
      </c>
      <c r="C1537" s="19" t="s">
        <v>149</v>
      </c>
      <c r="D1537" s="20" t="s">
        <v>11</v>
      </c>
      <c r="E1537" s="21" t="s">
        <v>88</v>
      </c>
      <c r="F1537" s="22">
        <v>34.34</v>
      </c>
      <c r="G1537" s="22">
        <f>F1537-'Estatística'!$D$6/'Estatística'!$D$10</f>
        <v>33.33698037</v>
      </c>
      <c r="H1537" s="23">
        <v>45213.0</v>
      </c>
      <c r="I1537" s="24" t="str">
        <f t="shared" si="1"/>
        <v>out.</v>
      </c>
      <c r="O1537" s="8"/>
    </row>
    <row r="1538" ht="15.75" customHeight="1">
      <c r="A1538" s="9">
        <v>69.0</v>
      </c>
      <c r="B1538" s="9" t="s">
        <v>108</v>
      </c>
      <c r="C1538" s="9" t="s">
        <v>145</v>
      </c>
      <c r="D1538" s="10" t="s">
        <v>11</v>
      </c>
      <c r="E1538" s="11" t="s">
        <v>91</v>
      </c>
      <c r="F1538" s="12">
        <v>2.45</v>
      </c>
      <c r="G1538" s="12">
        <f>F1538-'Estatística'!$D$6/'Estatística'!$D$10</f>
        <v>1.446980371</v>
      </c>
      <c r="H1538" s="13">
        <v>45213.0</v>
      </c>
      <c r="I1538" s="14" t="str">
        <f t="shared" si="1"/>
        <v>out.</v>
      </c>
      <c r="O1538" s="8"/>
    </row>
    <row r="1539" ht="15.75" customHeight="1">
      <c r="A1539" s="19">
        <v>86.0</v>
      </c>
      <c r="B1539" s="19" t="s">
        <v>62</v>
      </c>
      <c r="C1539" s="19" t="s">
        <v>63</v>
      </c>
      <c r="D1539" s="20" t="s">
        <v>30</v>
      </c>
      <c r="E1539" s="21" t="s">
        <v>52</v>
      </c>
      <c r="F1539" s="22">
        <v>63.88</v>
      </c>
      <c r="G1539" s="22">
        <f>F1539-'Estatística'!$D$6/'Estatística'!$D$10</f>
        <v>62.87698037</v>
      </c>
      <c r="H1539" s="23">
        <v>45213.0</v>
      </c>
      <c r="I1539" s="24" t="str">
        <f t="shared" si="1"/>
        <v>out.</v>
      </c>
      <c r="O1539" s="8"/>
    </row>
    <row r="1540" ht="15.75" customHeight="1">
      <c r="A1540" s="9">
        <v>39.0</v>
      </c>
      <c r="B1540" s="9" t="s">
        <v>89</v>
      </c>
      <c r="C1540" s="9" t="s">
        <v>90</v>
      </c>
      <c r="D1540" s="10" t="s">
        <v>30</v>
      </c>
      <c r="E1540" s="11" t="s">
        <v>97</v>
      </c>
      <c r="F1540" s="12">
        <v>3.03</v>
      </c>
      <c r="G1540" s="12">
        <f>F1540-'Estatística'!$D$6/'Estatística'!$D$10</f>
        <v>2.026980371</v>
      </c>
      <c r="H1540" s="13">
        <v>45213.0</v>
      </c>
      <c r="I1540" s="14" t="str">
        <f t="shared" si="1"/>
        <v>out.</v>
      </c>
      <c r="O1540" s="8"/>
    </row>
    <row r="1541" ht="15.75" customHeight="1">
      <c r="A1541" s="19">
        <v>40.0</v>
      </c>
      <c r="B1541" s="19" t="s">
        <v>122</v>
      </c>
      <c r="C1541" s="19" t="s">
        <v>185</v>
      </c>
      <c r="D1541" s="20" t="s">
        <v>11</v>
      </c>
      <c r="E1541" s="21" t="s">
        <v>50</v>
      </c>
      <c r="F1541" s="22">
        <v>32.55</v>
      </c>
      <c r="G1541" s="22">
        <f>F1541-'Estatística'!$D$6/'Estatística'!$D$10</f>
        <v>31.54698037</v>
      </c>
      <c r="H1541" s="23">
        <v>45213.0</v>
      </c>
      <c r="I1541" s="24" t="str">
        <f t="shared" si="1"/>
        <v>out.</v>
      </c>
      <c r="O1541" s="8"/>
    </row>
    <row r="1542" ht="15.75" customHeight="1">
      <c r="A1542" s="9">
        <v>64.0</v>
      </c>
      <c r="B1542" s="9" t="s">
        <v>159</v>
      </c>
      <c r="C1542" s="9" t="s">
        <v>160</v>
      </c>
      <c r="D1542" s="10" t="s">
        <v>11</v>
      </c>
      <c r="E1542" s="11" t="s">
        <v>12</v>
      </c>
      <c r="F1542" s="12">
        <v>10.64</v>
      </c>
      <c r="G1542" s="12">
        <f>F1542-'Estatística'!$D$6/'Estatística'!$D$10</f>
        <v>9.636980371</v>
      </c>
      <c r="H1542" s="13">
        <v>45213.0</v>
      </c>
      <c r="I1542" s="14" t="str">
        <f t="shared" si="1"/>
        <v>out.</v>
      </c>
      <c r="O1542" s="8"/>
    </row>
    <row r="1543" ht="15.75" customHeight="1">
      <c r="A1543" s="19">
        <v>7.0</v>
      </c>
      <c r="B1543" s="19" t="s">
        <v>114</v>
      </c>
      <c r="C1543" s="19" t="s">
        <v>115</v>
      </c>
      <c r="D1543" s="20" t="s">
        <v>11</v>
      </c>
      <c r="E1543" s="21" t="s">
        <v>94</v>
      </c>
      <c r="F1543" s="22">
        <v>25.59</v>
      </c>
      <c r="G1543" s="22">
        <f>F1543-'Estatística'!$D$6/'Estatística'!$D$10</f>
        <v>24.58698037</v>
      </c>
      <c r="H1543" s="23">
        <v>45213.0</v>
      </c>
      <c r="I1543" s="24" t="str">
        <f t="shared" si="1"/>
        <v>out.</v>
      </c>
      <c r="O1543" s="8"/>
    </row>
    <row r="1544" ht="15.75" customHeight="1">
      <c r="A1544" s="9">
        <v>88.0</v>
      </c>
      <c r="B1544" s="9" t="s">
        <v>200</v>
      </c>
      <c r="C1544" s="9" t="s">
        <v>206</v>
      </c>
      <c r="D1544" s="10" t="s">
        <v>11</v>
      </c>
      <c r="E1544" s="11" t="s">
        <v>91</v>
      </c>
      <c r="F1544" s="12">
        <v>2.7</v>
      </c>
      <c r="G1544" s="12">
        <f>F1544-'Estatística'!$D$6/'Estatística'!$D$10</f>
        <v>1.696980371</v>
      </c>
      <c r="H1544" s="13">
        <v>45214.0</v>
      </c>
      <c r="I1544" s="14" t="str">
        <f t="shared" si="1"/>
        <v>out.</v>
      </c>
      <c r="O1544" s="8"/>
    </row>
    <row r="1545" ht="15.75" customHeight="1">
      <c r="A1545" s="19">
        <v>86.0</v>
      </c>
      <c r="B1545" s="19" t="s">
        <v>62</v>
      </c>
      <c r="C1545" s="19" t="s">
        <v>63</v>
      </c>
      <c r="D1545" s="20" t="s">
        <v>11</v>
      </c>
      <c r="E1545" s="21" t="s">
        <v>85</v>
      </c>
      <c r="F1545" s="22">
        <v>14.13</v>
      </c>
      <c r="G1545" s="22">
        <f>F1545-'Estatística'!$D$6/'Estatística'!$D$10</f>
        <v>13.12698037</v>
      </c>
      <c r="H1545" s="23">
        <v>45214.0</v>
      </c>
      <c r="I1545" s="24" t="str">
        <f t="shared" si="1"/>
        <v>out.</v>
      </c>
      <c r="O1545" s="8"/>
    </row>
    <row r="1546" ht="15.75" customHeight="1">
      <c r="A1546" s="9">
        <v>60.0</v>
      </c>
      <c r="B1546" s="9" t="s">
        <v>65</v>
      </c>
      <c r="C1546" s="9" t="s">
        <v>66</v>
      </c>
      <c r="D1546" s="10" t="s">
        <v>30</v>
      </c>
      <c r="E1546" s="11" t="s">
        <v>12</v>
      </c>
      <c r="F1546" s="12">
        <v>10.51</v>
      </c>
      <c r="G1546" s="12">
        <f>F1546-'Estatística'!$D$6/'Estatística'!$D$10</f>
        <v>9.506980371</v>
      </c>
      <c r="H1546" s="13">
        <v>45214.0</v>
      </c>
      <c r="I1546" s="14" t="str">
        <f t="shared" si="1"/>
        <v>out.</v>
      </c>
      <c r="O1546" s="8"/>
    </row>
    <row r="1547" ht="15.75" customHeight="1">
      <c r="A1547" s="19">
        <v>74.0</v>
      </c>
      <c r="B1547" s="19" t="s">
        <v>9</v>
      </c>
      <c r="C1547" s="19" t="s">
        <v>124</v>
      </c>
      <c r="D1547" s="20" t="s">
        <v>30</v>
      </c>
      <c r="E1547" s="21" t="s">
        <v>94</v>
      </c>
      <c r="F1547" s="22">
        <v>29.44</v>
      </c>
      <c r="G1547" s="22">
        <f>F1547-'Estatística'!$D$6/'Estatística'!$D$10</f>
        <v>28.43698037</v>
      </c>
      <c r="H1547" s="23">
        <v>45214.0</v>
      </c>
      <c r="I1547" s="24" t="str">
        <f t="shared" si="1"/>
        <v>out.</v>
      </c>
      <c r="O1547" s="8"/>
    </row>
    <row r="1548" ht="15.75" customHeight="1">
      <c r="A1548" s="9">
        <v>3.0</v>
      </c>
      <c r="B1548" s="9" t="s">
        <v>80</v>
      </c>
      <c r="C1548" s="9" t="s">
        <v>81</v>
      </c>
      <c r="D1548" s="10" t="s">
        <v>30</v>
      </c>
      <c r="E1548" s="11" t="s">
        <v>56</v>
      </c>
      <c r="F1548" s="12">
        <v>75.56</v>
      </c>
      <c r="G1548" s="12">
        <f>F1548-'Estatística'!$D$6/'Estatística'!$D$10</f>
        <v>74.55698037</v>
      </c>
      <c r="H1548" s="13">
        <v>45214.0</v>
      </c>
      <c r="I1548" s="14" t="str">
        <f t="shared" si="1"/>
        <v>out.</v>
      </c>
      <c r="O1548" s="8"/>
    </row>
    <row r="1549" ht="15.75" customHeight="1">
      <c r="A1549" s="19">
        <v>78.0</v>
      </c>
      <c r="B1549" s="19" t="s">
        <v>28</v>
      </c>
      <c r="C1549" s="19" t="s">
        <v>29</v>
      </c>
      <c r="D1549" s="20" t="s">
        <v>11</v>
      </c>
      <c r="E1549" s="21" t="s">
        <v>91</v>
      </c>
      <c r="F1549" s="22">
        <v>2.94</v>
      </c>
      <c r="G1549" s="22">
        <f>F1549-'Estatística'!$D$6/'Estatística'!$D$10</f>
        <v>1.936980371</v>
      </c>
      <c r="H1549" s="23">
        <v>45215.0</v>
      </c>
      <c r="I1549" s="24" t="str">
        <f t="shared" si="1"/>
        <v>out.</v>
      </c>
      <c r="O1549" s="8"/>
    </row>
    <row r="1550" ht="15.75" customHeight="1">
      <c r="A1550" s="9">
        <v>75.0</v>
      </c>
      <c r="B1550" s="9" t="s">
        <v>238</v>
      </c>
      <c r="C1550" s="9" t="s">
        <v>239</v>
      </c>
      <c r="D1550" s="10" t="s">
        <v>11</v>
      </c>
      <c r="E1550" s="11" t="s">
        <v>72</v>
      </c>
      <c r="F1550" s="12">
        <v>16.46</v>
      </c>
      <c r="G1550" s="12">
        <f>F1550-'Estatística'!$D$6/'Estatística'!$D$10</f>
        <v>15.45698037</v>
      </c>
      <c r="H1550" s="13">
        <v>45215.0</v>
      </c>
      <c r="I1550" s="14" t="str">
        <f t="shared" si="1"/>
        <v>out.</v>
      </c>
      <c r="O1550" s="8"/>
    </row>
    <row r="1551" ht="15.75" customHeight="1">
      <c r="A1551" s="19">
        <v>36.0</v>
      </c>
      <c r="B1551" s="19" t="s">
        <v>92</v>
      </c>
      <c r="C1551" s="19" t="s">
        <v>93</v>
      </c>
      <c r="D1551" s="20" t="s">
        <v>30</v>
      </c>
      <c r="E1551" s="21" t="s">
        <v>72</v>
      </c>
      <c r="F1551" s="22">
        <v>15.51</v>
      </c>
      <c r="G1551" s="22">
        <f>F1551-'Estatística'!$D$6/'Estatística'!$D$10</f>
        <v>14.50698037</v>
      </c>
      <c r="H1551" s="23">
        <v>45215.0</v>
      </c>
      <c r="I1551" s="24" t="str">
        <f t="shared" si="1"/>
        <v>out.</v>
      </c>
      <c r="O1551" s="8"/>
    </row>
    <row r="1552" ht="15.75" customHeight="1">
      <c r="A1552" s="9">
        <v>49.0</v>
      </c>
      <c r="B1552" s="9" t="s">
        <v>179</v>
      </c>
      <c r="C1552" s="9" t="s">
        <v>180</v>
      </c>
      <c r="D1552" s="10" t="s">
        <v>11</v>
      </c>
      <c r="E1552" s="11" t="s">
        <v>82</v>
      </c>
      <c r="F1552" s="12">
        <v>11.75</v>
      </c>
      <c r="G1552" s="12">
        <f>F1552-'Estatística'!$D$6/'Estatística'!$D$10</f>
        <v>10.74698037</v>
      </c>
      <c r="H1552" s="13">
        <v>45216.0</v>
      </c>
      <c r="I1552" s="14" t="str">
        <f t="shared" si="1"/>
        <v>out.</v>
      </c>
      <c r="O1552" s="8"/>
    </row>
    <row r="1553" ht="15.75" customHeight="1">
      <c r="A1553" s="19">
        <v>24.0</v>
      </c>
      <c r="B1553" s="19" t="s">
        <v>139</v>
      </c>
      <c r="C1553" s="19" t="s">
        <v>140</v>
      </c>
      <c r="D1553" s="20" t="s">
        <v>30</v>
      </c>
      <c r="E1553" s="21" t="s">
        <v>79</v>
      </c>
      <c r="F1553" s="22">
        <v>36.27</v>
      </c>
      <c r="G1553" s="22">
        <f>F1553-'Estatística'!$D$6/'Estatística'!$D$10</f>
        <v>35.26698037</v>
      </c>
      <c r="H1553" s="23">
        <v>45216.0</v>
      </c>
      <c r="I1553" s="24" t="str">
        <f t="shared" si="1"/>
        <v>out.</v>
      </c>
      <c r="O1553" s="8"/>
    </row>
    <row r="1554" ht="15.75" customHeight="1">
      <c r="A1554" s="9">
        <v>22.0</v>
      </c>
      <c r="B1554" s="9" t="s">
        <v>131</v>
      </c>
      <c r="C1554" s="9" t="s">
        <v>132</v>
      </c>
      <c r="D1554" s="10" t="s">
        <v>11</v>
      </c>
      <c r="E1554" s="11" t="s">
        <v>94</v>
      </c>
      <c r="F1554" s="12">
        <v>31.76</v>
      </c>
      <c r="G1554" s="12">
        <f>F1554-'Estatística'!$D$6/'Estatística'!$D$10</f>
        <v>30.75698037</v>
      </c>
      <c r="H1554" s="13">
        <v>45216.0</v>
      </c>
      <c r="I1554" s="14" t="str">
        <f t="shared" si="1"/>
        <v>out.</v>
      </c>
      <c r="O1554" s="8"/>
    </row>
    <row r="1555" ht="15.75" customHeight="1">
      <c r="A1555" s="19">
        <v>64.0</v>
      </c>
      <c r="B1555" s="19" t="s">
        <v>159</v>
      </c>
      <c r="C1555" s="19" t="s">
        <v>160</v>
      </c>
      <c r="D1555" s="20" t="s">
        <v>11</v>
      </c>
      <c r="E1555" s="21" t="s">
        <v>97</v>
      </c>
      <c r="F1555" s="22">
        <v>2.68</v>
      </c>
      <c r="G1555" s="22">
        <f>F1555-'Estatística'!$D$6/'Estatística'!$D$10</f>
        <v>1.676980371</v>
      </c>
      <c r="H1555" s="23">
        <v>45216.0</v>
      </c>
      <c r="I1555" s="24" t="str">
        <f t="shared" si="1"/>
        <v>out.</v>
      </c>
      <c r="O1555" s="8"/>
    </row>
    <row r="1556" ht="15.75" customHeight="1">
      <c r="A1556" s="9">
        <v>14.0</v>
      </c>
      <c r="B1556" s="9" t="s">
        <v>171</v>
      </c>
      <c r="C1556" s="9" t="s">
        <v>172</v>
      </c>
      <c r="D1556" s="10" t="s">
        <v>11</v>
      </c>
      <c r="E1556" s="11" t="s">
        <v>52</v>
      </c>
      <c r="F1556" s="12">
        <v>49.68</v>
      </c>
      <c r="G1556" s="12">
        <f>F1556-'Estatística'!$D$6/'Estatística'!$D$10</f>
        <v>48.67698037</v>
      </c>
      <c r="H1556" s="13">
        <v>45216.0</v>
      </c>
      <c r="I1556" s="14" t="str">
        <f t="shared" si="1"/>
        <v>out.</v>
      </c>
      <c r="O1556" s="8"/>
    </row>
    <row r="1557" ht="15.75" customHeight="1">
      <c r="A1557" s="19">
        <v>26.0</v>
      </c>
      <c r="B1557" s="19" t="s">
        <v>211</v>
      </c>
      <c r="C1557" s="19" t="s">
        <v>212</v>
      </c>
      <c r="D1557" s="20" t="s">
        <v>30</v>
      </c>
      <c r="E1557" s="21" t="s">
        <v>72</v>
      </c>
      <c r="F1557" s="22">
        <v>23.9</v>
      </c>
      <c r="G1557" s="22">
        <f>F1557-'Estatística'!$D$6/'Estatística'!$D$10</f>
        <v>22.89698037</v>
      </c>
      <c r="H1557" s="23">
        <v>45216.0</v>
      </c>
      <c r="I1557" s="24" t="str">
        <f t="shared" si="1"/>
        <v>out.</v>
      </c>
      <c r="O1557" s="8"/>
    </row>
    <row r="1558" ht="15.75" customHeight="1">
      <c r="A1558" s="9">
        <v>67.0</v>
      </c>
      <c r="B1558" s="9" t="s">
        <v>204</v>
      </c>
      <c r="C1558" s="9" t="s">
        <v>205</v>
      </c>
      <c r="D1558" s="10" t="s">
        <v>30</v>
      </c>
      <c r="E1558" s="11" t="s">
        <v>35</v>
      </c>
      <c r="F1558" s="12">
        <v>17.37</v>
      </c>
      <c r="G1558" s="12">
        <f>F1558-'Estatística'!$D$6/'Estatística'!$D$10</f>
        <v>16.36698037</v>
      </c>
      <c r="H1558" s="13">
        <v>45216.0</v>
      </c>
      <c r="I1558" s="14" t="str">
        <f t="shared" si="1"/>
        <v>out.</v>
      </c>
      <c r="O1558" s="8"/>
    </row>
    <row r="1559" ht="15.75" customHeight="1">
      <c r="A1559" s="19">
        <v>84.0</v>
      </c>
      <c r="B1559" s="19" t="s">
        <v>141</v>
      </c>
      <c r="C1559" s="19" t="s">
        <v>142</v>
      </c>
      <c r="D1559" s="20" t="s">
        <v>30</v>
      </c>
      <c r="E1559" s="21" t="s">
        <v>46</v>
      </c>
      <c r="F1559" s="22">
        <v>13.63</v>
      </c>
      <c r="G1559" s="22">
        <f>F1559-'Estatística'!$D$6/'Estatística'!$D$10</f>
        <v>12.62698037</v>
      </c>
      <c r="H1559" s="23">
        <v>45216.0</v>
      </c>
      <c r="I1559" s="24" t="str">
        <f t="shared" si="1"/>
        <v>out.</v>
      </c>
      <c r="O1559" s="8"/>
    </row>
    <row r="1560" ht="15.75" customHeight="1">
      <c r="A1560" s="9">
        <v>13.0</v>
      </c>
      <c r="B1560" s="9" t="s">
        <v>137</v>
      </c>
      <c r="C1560" s="9" t="s">
        <v>138</v>
      </c>
      <c r="D1560" s="10" t="s">
        <v>11</v>
      </c>
      <c r="E1560" s="11" t="s">
        <v>12</v>
      </c>
      <c r="F1560" s="12">
        <v>10.43</v>
      </c>
      <c r="G1560" s="12">
        <f>F1560-'Estatística'!$D$6/'Estatística'!$D$10</f>
        <v>9.426980371</v>
      </c>
      <c r="H1560" s="13">
        <v>45216.0</v>
      </c>
      <c r="I1560" s="14" t="str">
        <f t="shared" si="1"/>
        <v>out.</v>
      </c>
      <c r="O1560" s="8"/>
    </row>
    <row r="1561" ht="15.75" customHeight="1">
      <c r="A1561" s="19">
        <v>53.0</v>
      </c>
      <c r="B1561" s="19" t="s">
        <v>241</v>
      </c>
      <c r="C1561" s="19" t="s">
        <v>242</v>
      </c>
      <c r="D1561" s="20" t="s">
        <v>11</v>
      </c>
      <c r="E1561" s="21" t="s">
        <v>72</v>
      </c>
      <c r="F1561" s="22">
        <v>14.36</v>
      </c>
      <c r="G1561" s="22">
        <f>F1561-'Estatística'!$D$6/'Estatística'!$D$10</f>
        <v>13.35698037</v>
      </c>
      <c r="H1561" s="23">
        <v>45216.0</v>
      </c>
      <c r="I1561" s="24" t="str">
        <f t="shared" si="1"/>
        <v>out.</v>
      </c>
      <c r="O1561" s="8"/>
    </row>
    <row r="1562" ht="15.75" customHeight="1">
      <c r="A1562" s="9">
        <v>56.0</v>
      </c>
      <c r="B1562" s="9" t="s">
        <v>127</v>
      </c>
      <c r="C1562" s="9" t="s">
        <v>128</v>
      </c>
      <c r="D1562" s="10" t="s">
        <v>11</v>
      </c>
      <c r="E1562" s="11" t="s">
        <v>82</v>
      </c>
      <c r="F1562" s="12">
        <v>12.71</v>
      </c>
      <c r="G1562" s="12">
        <f>F1562-'Estatística'!$D$6/'Estatística'!$D$10</f>
        <v>11.70698037</v>
      </c>
      <c r="H1562" s="13">
        <v>45217.0</v>
      </c>
      <c r="I1562" s="14" t="str">
        <f t="shared" si="1"/>
        <v>out.</v>
      </c>
      <c r="O1562" s="8"/>
    </row>
    <row r="1563" ht="15.75" customHeight="1">
      <c r="A1563" s="19">
        <v>69.0</v>
      </c>
      <c r="B1563" s="19" t="s">
        <v>108</v>
      </c>
      <c r="C1563" s="19" t="s">
        <v>145</v>
      </c>
      <c r="D1563" s="20" t="s">
        <v>30</v>
      </c>
      <c r="E1563" s="21" t="s">
        <v>76</v>
      </c>
      <c r="F1563" s="22">
        <v>12.24</v>
      </c>
      <c r="G1563" s="22">
        <f>F1563-'Estatística'!$D$6/'Estatística'!$D$10</f>
        <v>11.23698037</v>
      </c>
      <c r="H1563" s="23">
        <v>45217.0</v>
      </c>
      <c r="I1563" s="24" t="str">
        <f t="shared" si="1"/>
        <v>out.</v>
      </c>
      <c r="O1563" s="8"/>
    </row>
    <row r="1564" ht="15.75" customHeight="1">
      <c r="A1564" s="9">
        <v>87.0</v>
      </c>
      <c r="B1564" s="9" t="s">
        <v>243</v>
      </c>
      <c r="C1564" s="9" t="s">
        <v>244</v>
      </c>
      <c r="D1564" s="10" t="s">
        <v>30</v>
      </c>
      <c r="E1564" s="11" t="s">
        <v>76</v>
      </c>
      <c r="F1564" s="12">
        <v>12.32</v>
      </c>
      <c r="G1564" s="12">
        <f>F1564-'Estatística'!$D$6/'Estatística'!$D$10</f>
        <v>11.31698037</v>
      </c>
      <c r="H1564" s="13">
        <v>45217.0</v>
      </c>
      <c r="I1564" s="14" t="str">
        <f t="shared" si="1"/>
        <v>out.</v>
      </c>
      <c r="O1564" s="8"/>
    </row>
    <row r="1565" ht="15.75" customHeight="1">
      <c r="A1565" s="19">
        <v>77.0</v>
      </c>
      <c r="B1565" s="19" t="s">
        <v>9</v>
      </c>
      <c r="C1565" s="19" t="s">
        <v>169</v>
      </c>
      <c r="D1565" s="20" t="s">
        <v>30</v>
      </c>
      <c r="E1565" s="21" t="s">
        <v>91</v>
      </c>
      <c r="F1565" s="22">
        <v>3.05</v>
      </c>
      <c r="G1565" s="22">
        <f>F1565-'Estatística'!$D$6/'Estatística'!$D$10</f>
        <v>2.046980371</v>
      </c>
      <c r="H1565" s="23">
        <v>45217.0</v>
      </c>
      <c r="I1565" s="24" t="str">
        <f t="shared" si="1"/>
        <v>out.</v>
      </c>
      <c r="O1565" s="8"/>
    </row>
    <row r="1566" ht="15.75" customHeight="1">
      <c r="A1566" s="9">
        <v>99.0</v>
      </c>
      <c r="B1566" s="9" t="s">
        <v>73</v>
      </c>
      <c r="C1566" s="9" t="s">
        <v>74</v>
      </c>
      <c r="D1566" s="10" t="s">
        <v>30</v>
      </c>
      <c r="E1566" s="11" t="s">
        <v>60</v>
      </c>
      <c r="F1566" s="12">
        <v>52.46</v>
      </c>
      <c r="G1566" s="12">
        <f>F1566-'Estatística'!$D$6/'Estatística'!$D$10</f>
        <v>51.45698037</v>
      </c>
      <c r="H1566" s="13">
        <v>45217.0</v>
      </c>
      <c r="I1566" s="14" t="str">
        <f t="shared" si="1"/>
        <v>out.</v>
      </c>
      <c r="O1566" s="8"/>
    </row>
    <row r="1567" ht="15.75" customHeight="1">
      <c r="A1567" s="19">
        <v>81.0</v>
      </c>
      <c r="B1567" s="19" t="s">
        <v>54</v>
      </c>
      <c r="C1567" s="19" t="s">
        <v>55</v>
      </c>
      <c r="D1567" s="20" t="s">
        <v>11</v>
      </c>
      <c r="E1567" s="21" t="s">
        <v>12</v>
      </c>
      <c r="F1567" s="22">
        <v>10.31</v>
      </c>
      <c r="G1567" s="22">
        <f>F1567-'Estatística'!$D$6/'Estatística'!$D$10</f>
        <v>9.306980371</v>
      </c>
      <c r="H1567" s="23">
        <v>45217.0</v>
      </c>
      <c r="I1567" s="24" t="str">
        <f t="shared" si="1"/>
        <v>out.</v>
      </c>
      <c r="O1567" s="8"/>
    </row>
    <row r="1568" ht="15.75" customHeight="1">
      <c r="A1568" s="9">
        <v>81.0</v>
      </c>
      <c r="B1568" s="9" t="s">
        <v>54</v>
      </c>
      <c r="C1568" s="9" t="s">
        <v>55</v>
      </c>
      <c r="D1568" s="10" t="s">
        <v>30</v>
      </c>
      <c r="E1568" s="11" t="s">
        <v>91</v>
      </c>
      <c r="F1568" s="12">
        <v>4.14</v>
      </c>
      <c r="G1568" s="12">
        <f>F1568-'Estatística'!$D$6/'Estatística'!$D$10</f>
        <v>3.136980371</v>
      </c>
      <c r="H1568" s="13">
        <v>45217.0</v>
      </c>
      <c r="I1568" s="14" t="str">
        <f t="shared" si="1"/>
        <v>out.</v>
      </c>
      <c r="O1568" s="8"/>
    </row>
    <row r="1569" ht="15.75" customHeight="1">
      <c r="A1569" s="19">
        <v>37.0</v>
      </c>
      <c r="B1569" s="19" t="s">
        <v>245</v>
      </c>
      <c r="C1569" s="19" t="s">
        <v>246</v>
      </c>
      <c r="D1569" s="20" t="s">
        <v>30</v>
      </c>
      <c r="E1569" s="21" t="s">
        <v>97</v>
      </c>
      <c r="F1569" s="22">
        <v>3.73</v>
      </c>
      <c r="G1569" s="22">
        <f>F1569-'Estatística'!$D$6/'Estatística'!$D$10</f>
        <v>2.726980371</v>
      </c>
      <c r="H1569" s="23">
        <v>45217.0</v>
      </c>
      <c r="I1569" s="24" t="str">
        <f t="shared" si="1"/>
        <v>out.</v>
      </c>
      <c r="O1569" s="8"/>
    </row>
    <row r="1570" ht="15.75" customHeight="1">
      <c r="A1570" s="9">
        <v>25.0</v>
      </c>
      <c r="B1570" s="9" t="s">
        <v>154</v>
      </c>
      <c r="C1570" s="9" t="s">
        <v>155</v>
      </c>
      <c r="D1570" s="10" t="s">
        <v>30</v>
      </c>
      <c r="E1570" s="11" t="s">
        <v>52</v>
      </c>
      <c r="F1570" s="12">
        <v>59.43</v>
      </c>
      <c r="G1570" s="12">
        <f>F1570-'Estatística'!$D$6/'Estatística'!$D$10</f>
        <v>58.42698037</v>
      </c>
      <c r="H1570" s="13">
        <v>45218.0</v>
      </c>
      <c r="I1570" s="14" t="str">
        <f t="shared" si="1"/>
        <v>out.</v>
      </c>
      <c r="O1570" s="8"/>
    </row>
    <row r="1571" ht="15.75" customHeight="1">
      <c r="A1571" s="19">
        <v>88.0</v>
      </c>
      <c r="B1571" s="19" t="s">
        <v>200</v>
      </c>
      <c r="C1571" s="19" t="s">
        <v>206</v>
      </c>
      <c r="D1571" s="20" t="s">
        <v>11</v>
      </c>
      <c r="E1571" s="21" t="s">
        <v>50</v>
      </c>
      <c r="F1571" s="22">
        <v>33.85</v>
      </c>
      <c r="G1571" s="22">
        <f>F1571-'Estatística'!$D$6/'Estatística'!$D$10</f>
        <v>32.84698037</v>
      </c>
      <c r="H1571" s="23">
        <v>45218.0</v>
      </c>
      <c r="I1571" s="24" t="str">
        <f t="shared" si="1"/>
        <v>out.</v>
      </c>
      <c r="O1571" s="8"/>
    </row>
    <row r="1572" ht="15.75" customHeight="1">
      <c r="A1572" s="9">
        <v>6.0</v>
      </c>
      <c r="B1572" s="9" t="s">
        <v>183</v>
      </c>
      <c r="C1572" s="9" t="s">
        <v>184</v>
      </c>
      <c r="D1572" s="10" t="s">
        <v>30</v>
      </c>
      <c r="E1572" s="11" t="s">
        <v>12</v>
      </c>
      <c r="F1572" s="12">
        <v>10.39</v>
      </c>
      <c r="G1572" s="12">
        <f>F1572-'Estatística'!$D$6/'Estatística'!$D$10</f>
        <v>9.386980371</v>
      </c>
      <c r="H1572" s="13">
        <v>45218.0</v>
      </c>
      <c r="I1572" s="14" t="str">
        <f t="shared" si="1"/>
        <v>out.</v>
      </c>
      <c r="O1572" s="8"/>
    </row>
    <row r="1573" ht="15.75" customHeight="1">
      <c r="A1573" s="19">
        <v>40.0</v>
      </c>
      <c r="B1573" s="19" t="s">
        <v>122</v>
      </c>
      <c r="C1573" s="19" t="s">
        <v>185</v>
      </c>
      <c r="D1573" s="20" t="s">
        <v>11</v>
      </c>
      <c r="E1573" s="21" t="s">
        <v>85</v>
      </c>
      <c r="F1573" s="22">
        <v>12.86</v>
      </c>
      <c r="G1573" s="22">
        <f>F1573-'Estatística'!$D$6/'Estatística'!$D$10</f>
        <v>11.85698037</v>
      </c>
      <c r="H1573" s="23">
        <v>45218.0</v>
      </c>
      <c r="I1573" s="24" t="str">
        <f t="shared" si="1"/>
        <v>out.</v>
      </c>
      <c r="O1573" s="8"/>
    </row>
    <row r="1574" ht="15.75" customHeight="1">
      <c r="A1574" s="9">
        <v>23.0</v>
      </c>
      <c r="B1574" s="9" t="s">
        <v>235</v>
      </c>
      <c r="C1574" s="9" t="s">
        <v>236</v>
      </c>
      <c r="D1574" s="10" t="s">
        <v>30</v>
      </c>
      <c r="E1574" s="11" t="s">
        <v>97</v>
      </c>
      <c r="F1574" s="12">
        <v>4.08</v>
      </c>
      <c r="G1574" s="12">
        <f>F1574-'Estatística'!$D$6/'Estatística'!$D$10</f>
        <v>3.076980371</v>
      </c>
      <c r="H1574" s="13">
        <v>45219.0</v>
      </c>
      <c r="I1574" s="14" t="str">
        <f t="shared" si="1"/>
        <v>out.</v>
      </c>
      <c r="O1574" s="8"/>
    </row>
    <row r="1575" ht="15.75" customHeight="1">
      <c r="A1575" s="19">
        <v>22.0</v>
      </c>
      <c r="B1575" s="19" t="s">
        <v>131</v>
      </c>
      <c r="C1575" s="19" t="s">
        <v>132</v>
      </c>
      <c r="D1575" s="20" t="s">
        <v>11</v>
      </c>
      <c r="E1575" s="21" t="s">
        <v>82</v>
      </c>
      <c r="F1575" s="22">
        <v>13.05</v>
      </c>
      <c r="G1575" s="22">
        <f>F1575-'Estatística'!$D$6/'Estatística'!$D$10</f>
        <v>12.04698037</v>
      </c>
      <c r="H1575" s="23">
        <v>45219.0</v>
      </c>
      <c r="I1575" s="24" t="str">
        <f t="shared" si="1"/>
        <v>out.</v>
      </c>
      <c r="O1575" s="8"/>
    </row>
    <row r="1576" ht="15.75" customHeight="1">
      <c r="A1576" s="9">
        <v>27.0</v>
      </c>
      <c r="B1576" s="9" t="s">
        <v>173</v>
      </c>
      <c r="C1576" s="9" t="s">
        <v>174</v>
      </c>
      <c r="D1576" s="10" t="s">
        <v>11</v>
      </c>
      <c r="E1576" s="11" t="s">
        <v>79</v>
      </c>
      <c r="F1576" s="12">
        <v>37.75</v>
      </c>
      <c r="G1576" s="12">
        <f>F1576-'Estatística'!$D$6/'Estatística'!$D$10</f>
        <v>36.74698037</v>
      </c>
      <c r="H1576" s="13">
        <v>45219.0</v>
      </c>
      <c r="I1576" s="14" t="str">
        <f t="shared" si="1"/>
        <v>out.</v>
      </c>
      <c r="O1576" s="8"/>
    </row>
    <row r="1577" ht="15.75" customHeight="1">
      <c r="A1577" s="19">
        <v>86.0</v>
      </c>
      <c r="B1577" s="19" t="s">
        <v>62</v>
      </c>
      <c r="C1577" s="19" t="s">
        <v>63</v>
      </c>
      <c r="D1577" s="20" t="s">
        <v>30</v>
      </c>
      <c r="E1577" s="21" t="s">
        <v>46</v>
      </c>
      <c r="F1577" s="22">
        <v>12.91</v>
      </c>
      <c r="G1577" s="22">
        <f>F1577-'Estatística'!$D$6/'Estatística'!$D$10</f>
        <v>11.90698037</v>
      </c>
      <c r="H1577" s="23">
        <v>45219.0</v>
      </c>
      <c r="I1577" s="24" t="str">
        <f t="shared" si="1"/>
        <v>out.</v>
      </c>
      <c r="O1577" s="8"/>
    </row>
    <row r="1578" ht="15.75" customHeight="1">
      <c r="A1578" s="9">
        <v>100.0</v>
      </c>
      <c r="B1578" s="9" t="s">
        <v>48</v>
      </c>
      <c r="C1578" s="9" t="s">
        <v>49</v>
      </c>
      <c r="D1578" s="10" t="s">
        <v>11</v>
      </c>
      <c r="E1578" s="11" t="s">
        <v>35</v>
      </c>
      <c r="F1578" s="12">
        <v>20.88</v>
      </c>
      <c r="G1578" s="12">
        <f>F1578-'Estatística'!$D$6/'Estatística'!$D$10</f>
        <v>19.87698037</v>
      </c>
      <c r="H1578" s="13">
        <v>45219.0</v>
      </c>
      <c r="I1578" s="14" t="str">
        <f t="shared" si="1"/>
        <v>out.</v>
      </c>
      <c r="O1578" s="8"/>
    </row>
    <row r="1579" ht="15.75" customHeight="1">
      <c r="A1579" s="19">
        <v>56.0</v>
      </c>
      <c r="B1579" s="19" t="s">
        <v>127</v>
      </c>
      <c r="C1579" s="19" t="s">
        <v>128</v>
      </c>
      <c r="D1579" s="20" t="s">
        <v>11</v>
      </c>
      <c r="E1579" s="21" t="s">
        <v>79</v>
      </c>
      <c r="F1579" s="22">
        <v>36.0</v>
      </c>
      <c r="G1579" s="22">
        <f>F1579-'Estatística'!$D$6/'Estatística'!$D$10</f>
        <v>34.99698037</v>
      </c>
      <c r="H1579" s="23">
        <v>45219.0</v>
      </c>
      <c r="I1579" s="24" t="str">
        <f t="shared" si="1"/>
        <v>out.</v>
      </c>
      <c r="O1579" s="8"/>
    </row>
    <row r="1580" ht="15.75" customHeight="1">
      <c r="A1580" s="9">
        <v>80.0</v>
      </c>
      <c r="B1580" s="9" t="s">
        <v>37</v>
      </c>
      <c r="C1580" s="9" t="s">
        <v>38</v>
      </c>
      <c r="D1580" s="10" t="s">
        <v>30</v>
      </c>
      <c r="E1580" s="11" t="s">
        <v>68</v>
      </c>
      <c r="F1580" s="12">
        <v>7.97</v>
      </c>
      <c r="G1580" s="12">
        <f>F1580-'Estatística'!$D$6/'Estatística'!$D$10</f>
        <v>6.966980371</v>
      </c>
      <c r="H1580" s="13">
        <v>45219.0</v>
      </c>
      <c r="I1580" s="14" t="str">
        <f t="shared" si="1"/>
        <v>out.</v>
      </c>
      <c r="O1580" s="8"/>
    </row>
    <row r="1581" ht="15.75" customHeight="1">
      <c r="A1581" s="19">
        <v>42.0</v>
      </c>
      <c r="B1581" s="19" t="s">
        <v>92</v>
      </c>
      <c r="C1581" s="19" t="s">
        <v>170</v>
      </c>
      <c r="D1581" s="20" t="s">
        <v>30</v>
      </c>
      <c r="E1581" s="21" t="s">
        <v>43</v>
      </c>
      <c r="F1581" s="22">
        <v>13.81</v>
      </c>
      <c r="G1581" s="22">
        <f>F1581-'Estatística'!$D$6/'Estatística'!$D$10</f>
        <v>12.80698037</v>
      </c>
      <c r="H1581" s="23">
        <v>45219.0</v>
      </c>
      <c r="I1581" s="24" t="str">
        <f t="shared" si="1"/>
        <v>out.</v>
      </c>
      <c r="O1581" s="8"/>
    </row>
    <row r="1582" ht="15.75" customHeight="1">
      <c r="A1582" s="9">
        <v>56.0</v>
      </c>
      <c r="B1582" s="9" t="s">
        <v>127</v>
      </c>
      <c r="C1582" s="9" t="s">
        <v>128</v>
      </c>
      <c r="D1582" s="10" t="s">
        <v>30</v>
      </c>
      <c r="E1582" s="11" t="s">
        <v>35</v>
      </c>
      <c r="F1582" s="12">
        <v>16.08</v>
      </c>
      <c r="G1582" s="12">
        <f>F1582-'Estatística'!$D$6/'Estatística'!$D$10</f>
        <v>15.07698037</v>
      </c>
      <c r="H1582" s="13">
        <v>45220.0</v>
      </c>
      <c r="I1582" s="14" t="str">
        <f t="shared" si="1"/>
        <v>out.</v>
      </c>
      <c r="O1582" s="8"/>
    </row>
    <row r="1583" ht="15.75" customHeight="1">
      <c r="A1583" s="19">
        <v>64.0</v>
      </c>
      <c r="B1583" s="19" t="s">
        <v>159</v>
      </c>
      <c r="C1583" s="19" t="s">
        <v>160</v>
      </c>
      <c r="D1583" s="20" t="s">
        <v>11</v>
      </c>
      <c r="E1583" s="21" t="s">
        <v>46</v>
      </c>
      <c r="F1583" s="22">
        <v>11.86</v>
      </c>
      <c r="G1583" s="22">
        <f>F1583-'Estatística'!$D$6/'Estatística'!$D$10</f>
        <v>10.85698037</v>
      </c>
      <c r="H1583" s="23">
        <v>45220.0</v>
      </c>
      <c r="I1583" s="24" t="str">
        <f t="shared" si="1"/>
        <v>out.</v>
      </c>
      <c r="O1583" s="8"/>
    </row>
    <row r="1584" ht="15.75" customHeight="1">
      <c r="A1584" s="9">
        <v>65.0</v>
      </c>
      <c r="B1584" s="9" t="s">
        <v>209</v>
      </c>
      <c r="C1584" s="9" t="s">
        <v>210</v>
      </c>
      <c r="D1584" s="10" t="s">
        <v>11</v>
      </c>
      <c r="E1584" s="11" t="s">
        <v>56</v>
      </c>
      <c r="F1584" s="12">
        <v>61.61</v>
      </c>
      <c r="G1584" s="12">
        <f>F1584-'Estatística'!$D$6/'Estatística'!$D$10</f>
        <v>60.60698037</v>
      </c>
      <c r="H1584" s="13">
        <v>45220.0</v>
      </c>
      <c r="I1584" s="14" t="str">
        <f t="shared" si="1"/>
        <v>out.</v>
      </c>
      <c r="O1584" s="8"/>
    </row>
    <row r="1585" ht="15.75" customHeight="1">
      <c r="A1585" s="19">
        <v>45.0</v>
      </c>
      <c r="B1585" s="19" t="s">
        <v>221</v>
      </c>
      <c r="C1585" s="19" t="s">
        <v>222</v>
      </c>
      <c r="D1585" s="20" t="s">
        <v>30</v>
      </c>
      <c r="E1585" s="21" t="s">
        <v>94</v>
      </c>
      <c r="F1585" s="22">
        <v>31.66</v>
      </c>
      <c r="G1585" s="22">
        <f>F1585-'Estatística'!$D$6/'Estatística'!$D$10</f>
        <v>30.65698037</v>
      </c>
      <c r="H1585" s="23">
        <v>45220.0</v>
      </c>
      <c r="I1585" s="24" t="str">
        <f t="shared" si="1"/>
        <v>out.</v>
      </c>
      <c r="O1585" s="8"/>
    </row>
    <row r="1586" ht="15.75" customHeight="1">
      <c r="A1586" s="9">
        <v>52.0</v>
      </c>
      <c r="B1586" s="9" t="s">
        <v>181</v>
      </c>
      <c r="C1586" s="9" t="s">
        <v>182</v>
      </c>
      <c r="D1586" s="10" t="s">
        <v>30</v>
      </c>
      <c r="E1586" s="11" t="s">
        <v>39</v>
      </c>
      <c r="F1586" s="12">
        <v>35.31</v>
      </c>
      <c r="G1586" s="12">
        <f>F1586-'Estatística'!$D$6/'Estatística'!$D$10</f>
        <v>34.30698037</v>
      </c>
      <c r="H1586" s="13">
        <v>45220.0</v>
      </c>
      <c r="I1586" s="14" t="str">
        <f t="shared" si="1"/>
        <v>out.</v>
      </c>
      <c r="O1586" s="8"/>
    </row>
    <row r="1587" ht="15.75" customHeight="1">
      <c r="A1587" s="19">
        <v>25.0</v>
      </c>
      <c r="B1587" s="19" t="s">
        <v>154</v>
      </c>
      <c r="C1587" s="19" t="s">
        <v>155</v>
      </c>
      <c r="D1587" s="20" t="s">
        <v>11</v>
      </c>
      <c r="E1587" s="21" t="s">
        <v>76</v>
      </c>
      <c r="F1587" s="22">
        <v>11.7</v>
      </c>
      <c r="G1587" s="22">
        <f>F1587-'Estatística'!$D$6/'Estatística'!$D$10</f>
        <v>10.69698037</v>
      </c>
      <c r="H1587" s="23">
        <v>45220.0</v>
      </c>
      <c r="I1587" s="24" t="str">
        <f t="shared" si="1"/>
        <v>out.</v>
      </c>
      <c r="O1587" s="8"/>
    </row>
    <row r="1588" ht="15.75" customHeight="1">
      <c r="A1588" s="9">
        <v>89.0</v>
      </c>
      <c r="B1588" s="9" t="s">
        <v>135</v>
      </c>
      <c r="C1588" s="9" t="s">
        <v>136</v>
      </c>
      <c r="D1588" s="10" t="s">
        <v>11</v>
      </c>
      <c r="E1588" s="11" t="s">
        <v>52</v>
      </c>
      <c r="F1588" s="12">
        <v>68.13</v>
      </c>
      <c r="G1588" s="12">
        <f>F1588-'Estatística'!$D$6/'Estatística'!$D$10</f>
        <v>67.12698037</v>
      </c>
      <c r="H1588" s="13">
        <v>45221.0</v>
      </c>
      <c r="I1588" s="14" t="str">
        <f t="shared" si="1"/>
        <v>out.</v>
      </c>
      <c r="O1588" s="8"/>
    </row>
    <row r="1589" ht="15.75" customHeight="1">
      <c r="A1589" s="19">
        <v>1.0</v>
      </c>
      <c r="B1589" s="19" t="s">
        <v>194</v>
      </c>
      <c r="C1589" s="19" t="s">
        <v>195</v>
      </c>
      <c r="D1589" s="20" t="s">
        <v>11</v>
      </c>
      <c r="E1589" s="21" t="s">
        <v>68</v>
      </c>
      <c r="F1589" s="22">
        <v>8.87</v>
      </c>
      <c r="G1589" s="22">
        <f>F1589-'Estatística'!$D$6/'Estatística'!$D$10</f>
        <v>7.866980371</v>
      </c>
      <c r="H1589" s="23">
        <v>45221.0</v>
      </c>
      <c r="I1589" s="24" t="str">
        <f t="shared" si="1"/>
        <v>out.</v>
      </c>
      <c r="O1589" s="8"/>
    </row>
    <row r="1590" ht="15.75" customHeight="1">
      <c r="A1590" s="9">
        <v>19.0</v>
      </c>
      <c r="B1590" s="9" t="s">
        <v>41</v>
      </c>
      <c r="C1590" s="9" t="s">
        <v>193</v>
      </c>
      <c r="D1590" s="10" t="s">
        <v>11</v>
      </c>
      <c r="E1590" s="11" t="s">
        <v>85</v>
      </c>
      <c r="F1590" s="12">
        <v>11.86</v>
      </c>
      <c r="G1590" s="12">
        <f>F1590-'Estatística'!$D$6/'Estatística'!$D$10</f>
        <v>10.85698037</v>
      </c>
      <c r="H1590" s="13">
        <v>45221.0</v>
      </c>
      <c r="I1590" s="14" t="str">
        <f t="shared" si="1"/>
        <v>out.</v>
      </c>
      <c r="O1590" s="8"/>
    </row>
    <row r="1591" ht="15.75" customHeight="1">
      <c r="A1591" s="19">
        <v>57.0</v>
      </c>
      <c r="B1591" s="19" t="s">
        <v>92</v>
      </c>
      <c r="C1591" s="19" t="s">
        <v>190</v>
      </c>
      <c r="D1591" s="20" t="s">
        <v>30</v>
      </c>
      <c r="E1591" s="21" t="s">
        <v>85</v>
      </c>
      <c r="F1591" s="22">
        <v>14.77</v>
      </c>
      <c r="G1591" s="22">
        <f>F1591-'Estatística'!$D$6/'Estatística'!$D$10</f>
        <v>13.76698037</v>
      </c>
      <c r="H1591" s="23">
        <v>45221.0</v>
      </c>
      <c r="I1591" s="24" t="str">
        <f t="shared" si="1"/>
        <v>out.</v>
      </c>
      <c r="O1591" s="8"/>
    </row>
    <row r="1592" ht="15.75" customHeight="1">
      <c r="A1592" s="9">
        <v>78.0</v>
      </c>
      <c r="B1592" s="9" t="s">
        <v>28</v>
      </c>
      <c r="C1592" s="9" t="s">
        <v>29</v>
      </c>
      <c r="D1592" s="10" t="s">
        <v>11</v>
      </c>
      <c r="E1592" s="11" t="s">
        <v>12</v>
      </c>
      <c r="F1592" s="12">
        <v>10.88</v>
      </c>
      <c r="G1592" s="12">
        <f>F1592-'Estatística'!$D$6/'Estatística'!$D$10</f>
        <v>9.876980371</v>
      </c>
      <c r="H1592" s="13">
        <v>45222.0</v>
      </c>
      <c r="I1592" s="14" t="str">
        <f t="shared" si="1"/>
        <v>out.</v>
      </c>
      <c r="O1592" s="8"/>
    </row>
    <row r="1593" ht="15.75" customHeight="1">
      <c r="A1593" s="19">
        <v>41.0</v>
      </c>
      <c r="B1593" s="19" t="s">
        <v>217</v>
      </c>
      <c r="C1593" s="19" t="s">
        <v>218</v>
      </c>
      <c r="D1593" s="20" t="s">
        <v>11</v>
      </c>
      <c r="E1593" s="21" t="s">
        <v>88</v>
      </c>
      <c r="F1593" s="22">
        <v>37.78</v>
      </c>
      <c r="G1593" s="22">
        <f>F1593-'Estatística'!$D$6/'Estatística'!$D$10</f>
        <v>36.77698037</v>
      </c>
      <c r="H1593" s="23">
        <v>45222.0</v>
      </c>
      <c r="I1593" s="24" t="str">
        <f t="shared" si="1"/>
        <v>out.</v>
      </c>
      <c r="O1593" s="8"/>
    </row>
    <row r="1594" ht="15.75" customHeight="1">
      <c r="A1594" s="9">
        <v>87.0</v>
      </c>
      <c r="B1594" s="9" t="s">
        <v>243</v>
      </c>
      <c r="C1594" s="9" t="s">
        <v>244</v>
      </c>
      <c r="D1594" s="10" t="s">
        <v>30</v>
      </c>
      <c r="E1594" s="11" t="s">
        <v>85</v>
      </c>
      <c r="F1594" s="12">
        <v>13.91</v>
      </c>
      <c r="G1594" s="12">
        <f>F1594-'Estatística'!$D$6/'Estatística'!$D$10</f>
        <v>12.90698037</v>
      </c>
      <c r="H1594" s="13">
        <v>45222.0</v>
      </c>
      <c r="I1594" s="14" t="str">
        <f t="shared" si="1"/>
        <v>out.</v>
      </c>
      <c r="O1594" s="8"/>
    </row>
    <row r="1595" ht="15.75" customHeight="1">
      <c r="A1595" s="19">
        <v>16.0</v>
      </c>
      <c r="B1595" s="19" t="s">
        <v>175</v>
      </c>
      <c r="C1595" s="19" t="s">
        <v>176</v>
      </c>
      <c r="D1595" s="20" t="s">
        <v>30</v>
      </c>
      <c r="E1595" s="21" t="s">
        <v>72</v>
      </c>
      <c r="F1595" s="22">
        <v>17.66</v>
      </c>
      <c r="G1595" s="22">
        <f>F1595-'Estatística'!$D$6/'Estatística'!$D$10</f>
        <v>16.65698037</v>
      </c>
      <c r="H1595" s="23">
        <v>45222.0</v>
      </c>
      <c r="I1595" s="24" t="str">
        <f t="shared" si="1"/>
        <v>out.</v>
      </c>
      <c r="O1595" s="8"/>
    </row>
    <row r="1596" ht="15.75" customHeight="1">
      <c r="A1596" s="9">
        <v>75.0</v>
      </c>
      <c r="B1596" s="9" t="s">
        <v>238</v>
      </c>
      <c r="C1596" s="9" t="s">
        <v>239</v>
      </c>
      <c r="D1596" s="10" t="s">
        <v>11</v>
      </c>
      <c r="E1596" s="11" t="s">
        <v>88</v>
      </c>
      <c r="F1596" s="12">
        <v>33.32</v>
      </c>
      <c r="G1596" s="12">
        <f>F1596-'Estatística'!$D$6/'Estatística'!$D$10</f>
        <v>32.31698037</v>
      </c>
      <c r="H1596" s="13">
        <v>45222.0</v>
      </c>
      <c r="I1596" s="14" t="str">
        <f t="shared" si="1"/>
        <v>out.</v>
      </c>
      <c r="O1596" s="8"/>
    </row>
    <row r="1597" ht="15.75" customHeight="1">
      <c r="A1597" s="19">
        <v>35.0</v>
      </c>
      <c r="B1597" s="19" t="s">
        <v>125</v>
      </c>
      <c r="C1597" s="19" t="s">
        <v>126</v>
      </c>
      <c r="D1597" s="20" t="s">
        <v>30</v>
      </c>
      <c r="E1597" s="21" t="s">
        <v>82</v>
      </c>
      <c r="F1597" s="22">
        <v>11.02</v>
      </c>
      <c r="G1597" s="22">
        <f>F1597-'Estatística'!$D$6/'Estatística'!$D$10</f>
        <v>10.01698037</v>
      </c>
      <c r="H1597" s="23">
        <v>45222.0</v>
      </c>
      <c r="I1597" s="24" t="str">
        <f t="shared" si="1"/>
        <v>out.</v>
      </c>
      <c r="O1597" s="8"/>
    </row>
    <row r="1598" ht="15.75" customHeight="1">
      <c r="A1598" s="9">
        <v>84.0</v>
      </c>
      <c r="B1598" s="9" t="s">
        <v>141</v>
      </c>
      <c r="C1598" s="9" t="s">
        <v>142</v>
      </c>
      <c r="D1598" s="10" t="s">
        <v>11</v>
      </c>
      <c r="E1598" s="11" t="s">
        <v>56</v>
      </c>
      <c r="F1598" s="12">
        <v>76.78</v>
      </c>
      <c r="G1598" s="12">
        <f>F1598-'Estatística'!$D$6/'Estatística'!$D$10</f>
        <v>75.77698037</v>
      </c>
      <c r="H1598" s="13">
        <v>45222.0</v>
      </c>
      <c r="I1598" s="14" t="str">
        <f t="shared" si="1"/>
        <v>out.</v>
      </c>
      <c r="O1598" s="8"/>
    </row>
    <row r="1599" ht="15.75" customHeight="1">
      <c r="A1599" s="19">
        <v>74.0</v>
      </c>
      <c r="B1599" s="19" t="s">
        <v>9</v>
      </c>
      <c r="C1599" s="19" t="s">
        <v>124</v>
      </c>
      <c r="D1599" s="20" t="s">
        <v>11</v>
      </c>
      <c r="E1599" s="21" t="s">
        <v>52</v>
      </c>
      <c r="F1599" s="22">
        <v>46.23</v>
      </c>
      <c r="G1599" s="22">
        <f>F1599-'Estatística'!$D$6/'Estatística'!$D$10</f>
        <v>45.22698037</v>
      </c>
      <c r="H1599" s="23">
        <v>45222.0</v>
      </c>
      <c r="I1599" s="24" t="str">
        <f t="shared" si="1"/>
        <v>out.</v>
      </c>
      <c r="O1599" s="8"/>
    </row>
    <row r="1600" ht="15.75" customHeight="1">
      <c r="A1600" s="9">
        <v>84.0</v>
      </c>
      <c r="B1600" s="9" t="s">
        <v>141</v>
      </c>
      <c r="C1600" s="9" t="s">
        <v>142</v>
      </c>
      <c r="D1600" s="10" t="s">
        <v>11</v>
      </c>
      <c r="E1600" s="11" t="s">
        <v>12</v>
      </c>
      <c r="F1600" s="12">
        <v>10.46</v>
      </c>
      <c r="G1600" s="12">
        <f>F1600-'Estatística'!$D$6/'Estatística'!$D$10</f>
        <v>9.456980371</v>
      </c>
      <c r="H1600" s="13">
        <v>45222.0</v>
      </c>
      <c r="I1600" s="14" t="str">
        <f t="shared" si="1"/>
        <v>out.</v>
      </c>
      <c r="O1600" s="8"/>
    </row>
    <row r="1601" ht="15.75" customHeight="1">
      <c r="A1601" s="19">
        <v>57.0</v>
      </c>
      <c r="B1601" s="19" t="s">
        <v>92</v>
      </c>
      <c r="C1601" s="19" t="s">
        <v>190</v>
      </c>
      <c r="D1601" s="20" t="s">
        <v>11</v>
      </c>
      <c r="E1601" s="21" t="s">
        <v>72</v>
      </c>
      <c r="F1601" s="22">
        <v>16.07</v>
      </c>
      <c r="G1601" s="22">
        <f>F1601-'Estatística'!$D$6/'Estatística'!$D$10</f>
        <v>15.06698037</v>
      </c>
      <c r="H1601" s="23">
        <v>45222.0</v>
      </c>
      <c r="I1601" s="24" t="str">
        <f t="shared" si="1"/>
        <v>out.</v>
      </c>
      <c r="O1601" s="8"/>
    </row>
    <row r="1602" ht="15.75" customHeight="1">
      <c r="A1602" s="9">
        <v>8.0</v>
      </c>
      <c r="B1602" s="9" t="s">
        <v>108</v>
      </c>
      <c r="C1602" s="9" t="s">
        <v>109</v>
      </c>
      <c r="D1602" s="10" t="s">
        <v>30</v>
      </c>
      <c r="E1602" s="11" t="s">
        <v>39</v>
      </c>
      <c r="F1602" s="12">
        <v>22.67</v>
      </c>
      <c r="G1602" s="12">
        <f>F1602-'Estatística'!$D$6/'Estatística'!$D$10</f>
        <v>21.66698037</v>
      </c>
      <c r="H1602" s="13">
        <v>45223.0</v>
      </c>
      <c r="I1602" s="14" t="str">
        <f t="shared" si="1"/>
        <v>out.</v>
      </c>
      <c r="O1602" s="8"/>
    </row>
    <row r="1603" ht="15.75" customHeight="1">
      <c r="A1603" s="19">
        <v>65.0</v>
      </c>
      <c r="B1603" s="19" t="s">
        <v>209</v>
      </c>
      <c r="C1603" s="19" t="s">
        <v>210</v>
      </c>
      <c r="D1603" s="20" t="s">
        <v>11</v>
      </c>
      <c r="E1603" s="21" t="s">
        <v>35</v>
      </c>
      <c r="F1603" s="22">
        <v>15.62</v>
      </c>
      <c r="G1603" s="22">
        <f>F1603-'Estatística'!$D$6/'Estatística'!$D$10</f>
        <v>14.61698037</v>
      </c>
      <c r="H1603" s="23">
        <v>45223.0</v>
      </c>
      <c r="I1603" s="24" t="str">
        <f t="shared" si="1"/>
        <v>out.</v>
      </c>
      <c r="O1603" s="8"/>
    </row>
    <row r="1604" ht="15.75" customHeight="1">
      <c r="A1604" s="9">
        <v>69.0</v>
      </c>
      <c r="B1604" s="9" t="s">
        <v>108</v>
      </c>
      <c r="C1604" s="9" t="s">
        <v>145</v>
      </c>
      <c r="D1604" s="10" t="s">
        <v>30</v>
      </c>
      <c r="E1604" s="11" t="s">
        <v>94</v>
      </c>
      <c r="F1604" s="12">
        <v>29.28</v>
      </c>
      <c r="G1604" s="12">
        <f>F1604-'Estatística'!$D$6/'Estatística'!$D$10</f>
        <v>28.27698037</v>
      </c>
      <c r="H1604" s="13">
        <v>45223.0</v>
      </c>
      <c r="I1604" s="14" t="str">
        <f t="shared" si="1"/>
        <v>out.</v>
      </c>
      <c r="O1604" s="8"/>
    </row>
    <row r="1605" ht="15.75" customHeight="1">
      <c r="A1605" s="19">
        <v>77.0</v>
      </c>
      <c r="B1605" s="19" t="s">
        <v>9</v>
      </c>
      <c r="C1605" s="19" t="s">
        <v>169</v>
      </c>
      <c r="D1605" s="20" t="s">
        <v>11</v>
      </c>
      <c r="E1605" s="21" t="s">
        <v>46</v>
      </c>
      <c r="F1605" s="22">
        <v>14.81</v>
      </c>
      <c r="G1605" s="22">
        <f>F1605-'Estatística'!$D$6/'Estatística'!$D$10</f>
        <v>13.80698037</v>
      </c>
      <c r="H1605" s="23">
        <v>45223.0</v>
      </c>
      <c r="I1605" s="24" t="str">
        <f t="shared" si="1"/>
        <v>out.</v>
      </c>
      <c r="O1605" s="8"/>
    </row>
    <row r="1606" ht="15.75" customHeight="1">
      <c r="A1606" s="9">
        <v>35.0</v>
      </c>
      <c r="B1606" s="9" t="s">
        <v>125</v>
      </c>
      <c r="C1606" s="9" t="s">
        <v>126</v>
      </c>
      <c r="D1606" s="10" t="s">
        <v>30</v>
      </c>
      <c r="E1606" s="11" t="s">
        <v>46</v>
      </c>
      <c r="F1606" s="12">
        <v>13.9</v>
      </c>
      <c r="G1606" s="12">
        <f>F1606-'Estatística'!$D$6/'Estatística'!$D$10</f>
        <v>12.89698037</v>
      </c>
      <c r="H1606" s="13">
        <v>45223.0</v>
      </c>
      <c r="I1606" s="14" t="str">
        <f t="shared" si="1"/>
        <v>out.</v>
      </c>
      <c r="O1606" s="8"/>
    </row>
    <row r="1607" ht="15.75" customHeight="1">
      <c r="A1607" s="19">
        <v>19.0</v>
      </c>
      <c r="B1607" s="19" t="s">
        <v>41</v>
      </c>
      <c r="C1607" s="19" t="s">
        <v>193</v>
      </c>
      <c r="D1607" s="20" t="s">
        <v>11</v>
      </c>
      <c r="E1607" s="21" t="s">
        <v>35</v>
      </c>
      <c r="F1607" s="22">
        <v>15.77</v>
      </c>
      <c r="G1607" s="22">
        <f>F1607-'Estatística'!$D$6/'Estatística'!$D$10</f>
        <v>14.76698037</v>
      </c>
      <c r="H1607" s="23">
        <v>45223.0</v>
      </c>
      <c r="I1607" s="24" t="str">
        <f t="shared" si="1"/>
        <v>out.</v>
      </c>
      <c r="O1607" s="8"/>
    </row>
    <row r="1608" ht="15.75" customHeight="1">
      <c r="A1608" s="9">
        <v>12.0</v>
      </c>
      <c r="B1608" s="9" t="s">
        <v>188</v>
      </c>
      <c r="C1608" s="9" t="s">
        <v>189</v>
      </c>
      <c r="D1608" s="10" t="s">
        <v>11</v>
      </c>
      <c r="E1608" s="11" t="s">
        <v>60</v>
      </c>
      <c r="F1608" s="12">
        <v>48.63</v>
      </c>
      <c r="G1608" s="12">
        <f>F1608-'Estatística'!$D$6/'Estatística'!$D$10</f>
        <v>47.62698037</v>
      </c>
      <c r="H1608" s="13">
        <v>45223.0</v>
      </c>
      <c r="I1608" s="14" t="str">
        <f t="shared" si="1"/>
        <v>out.</v>
      </c>
      <c r="O1608" s="8"/>
    </row>
    <row r="1609" ht="15.75" customHeight="1">
      <c r="A1609" s="19">
        <v>15.0</v>
      </c>
      <c r="B1609" s="19" t="s">
        <v>58</v>
      </c>
      <c r="C1609" s="19" t="s">
        <v>59</v>
      </c>
      <c r="D1609" s="20" t="s">
        <v>30</v>
      </c>
      <c r="E1609" s="21" t="s">
        <v>52</v>
      </c>
      <c r="F1609" s="22">
        <v>65.88</v>
      </c>
      <c r="G1609" s="22">
        <f>F1609-'Estatística'!$D$6/'Estatística'!$D$10</f>
        <v>64.87698037</v>
      </c>
      <c r="H1609" s="23">
        <v>45224.0</v>
      </c>
      <c r="I1609" s="24" t="str">
        <f t="shared" si="1"/>
        <v>out.</v>
      </c>
      <c r="O1609" s="8"/>
    </row>
    <row r="1610" ht="15.75" customHeight="1">
      <c r="A1610" s="9">
        <v>68.0</v>
      </c>
      <c r="B1610" s="9" t="s">
        <v>41</v>
      </c>
      <c r="C1610" s="9" t="s">
        <v>42</v>
      </c>
      <c r="D1610" s="10" t="s">
        <v>30</v>
      </c>
      <c r="E1610" s="11" t="s">
        <v>35</v>
      </c>
      <c r="F1610" s="12">
        <v>14.53</v>
      </c>
      <c r="G1610" s="12">
        <f>F1610-'Estatística'!$D$6/'Estatística'!$D$10</f>
        <v>13.52698037</v>
      </c>
      <c r="H1610" s="13">
        <v>45224.0</v>
      </c>
      <c r="I1610" s="14" t="str">
        <f t="shared" si="1"/>
        <v>out.</v>
      </c>
      <c r="O1610" s="8"/>
    </row>
    <row r="1611" ht="15.75" customHeight="1">
      <c r="A1611" s="19">
        <v>30.0</v>
      </c>
      <c r="B1611" s="19" t="s">
        <v>9</v>
      </c>
      <c r="C1611" s="19" t="s">
        <v>10</v>
      </c>
      <c r="D1611" s="20" t="s">
        <v>30</v>
      </c>
      <c r="E1611" s="21" t="s">
        <v>12</v>
      </c>
      <c r="F1611" s="22">
        <v>10.18</v>
      </c>
      <c r="G1611" s="22">
        <f>F1611-'Estatística'!$D$6/'Estatística'!$D$10</f>
        <v>9.176980371</v>
      </c>
      <c r="H1611" s="23">
        <v>45224.0</v>
      </c>
      <c r="I1611" s="24" t="str">
        <f t="shared" si="1"/>
        <v>out.</v>
      </c>
      <c r="O1611" s="8"/>
    </row>
    <row r="1612" ht="15.75" customHeight="1">
      <c r="A1612" s="9">
        <v>94.0</v>
      </c>
      <c r="B1612" s="9" t="s">
        <v>207</v>
      </c>
      <c r="C1612" s="9" t="s">
        <v>237</v>
      </c>
      <c r="D1612" s="10" t="s">
        <v>30</v>
      </c>
      <c r="E1612" s="11" t="s">
        <v>79</v>
      </c>
      <c r="F1612" s="12">
        <v>36.23</v>
      </c>
      <c r="G1612" s="12">
        <f>F1612-'Estatística'!$D$6/'Estatística'!$D$10</f>
        <v>35.22698037</v>
      </c>
      <c r="H1612" s="13">
        <v>45224.0</v>
      </c>
      <c r="I1612" s="14" t="str">
        <f t="shared" si="1"/>
        <v>out.</v>
      </c>
      <c r="O1612" s="8"/>
    </row>
    <row r="1613" ht="15.75" customHeight="1">
      <c r="A1613" s="19">
        <v>43.0</v>
      </c>
      <c r="B1613" s="19" t="s">
        <v>95</v>
      </c>
      <c r="C1613" s="19" t="s">
        <v>96</v>
      </c>
      <c r="D1613" s="20" t="s">
        <v>30</v>
      </c>
      <c r="E1613" s="21" t="s">
        <v>39</v>
      </c>
      <c r="F1613" s="22">
        <v>35.76</v>
      </c>
      <c r="G1613" s="22">
        <f>F1613-'Estatística'!$D$6/'Estatística'!$D$10</f>
        <v>34.75698037</v>
      </c>
      <c r="H1613" s="23">
        <v>45224.0</v>
      </c>
      <c r="I1613" s="24" t="str">
        <f t="shared" si="1"/>
        <v>out.</v>
      </c>
      <c r="O1613" s="8"/>
    </row>
    <row r="1614" ht="15.75" customHeight="1">
      <c r="A1614" s="9">
        <v>81.0</v>
      </c>
      <c r="B1614" s="9" t="s">
        <v>54</v>
      </c>
      <c r="C1614" s="9" t="s">
        <v>55</v>
      </c>
      <c r="D1614" s="10" t="s">
        <v>30</v>
      </c>
      <c r="E1614" s="11" t="s">
        <v>12</v>
      </c>
      <c r="F1614" s="12">
        <v>10.18</v>
      </c>
      <c r="G1614" s="12">
        <f>F1614-'Estatística'!$D$6/'Estatística'!$D$10</f>
        <v>9.176980371</v>
      </c>
      <c r="H1614" s="13">
        <v>45224.0</v>
      </c>
      <c r="I1614" s="14" t="str">
        <f t="shared" si="1"/>
        <v>out.</v>
      </c>
      <c r="O1614" s="8"/>
    </row>
    <row r="1615" ht="15.75" customHeight="1">
      <c r="A1615" s="19">
        <v>36.0</v>
      </c>
      <c r="B1615" s="19" t="s">
        <v>92</v>
      </c>
      <c r="C1615" s="19" t="s">
        <v>93</v>
      </c>
      <c r="D1615" s="20" t="s">
        <v>11</v>
      </c>
      <c r="E1615" s="21" t="s">
        <v>56</v>
      </c>
      <c r="F1615" s="22">
        <v>69.53</v>
      </c>
      <c r="G1615" s="22">
        <f>F1615-'Estatística'!$D$6/'Estatística'!$D$10</f>
        <v>68.52698037</v>
      </c>
      <c r="H1615" s="23">
        <v>45225.0</v>
      </c>
      <c r="I1615" s="24" t="str">
        <f t="shared" si="1"/>
        <v>out.</v>
      </c>
      <c r="O1615" s="8"/>
    </row>
    <row r="1616" ht="15.75" customHeight="1">
      <c r="A1616" s="9">
        <v>52.0</v>
      </c>
      <c r="B1616" s="9" t="s">
        <v>181</v>
      </c>
      <c r="C1616" s="9" t="s">
        <v>182</v>
      </c>
      <c r="D1616" s="10" t="s">
        <v>11</v>
      </c>
      <c r="E1616" s="11" t="s">
        <v>35</v>
      </c>
      <c r="F1616" s="12">
        <v>14.77</v>
      </c>
      <c r="G1616" s="12">
        <f>F1616-'Estatística'!$D$6/'Estatística'!$D$10</f>
        <v>13.76698037</v>
      </c>
      <c r="H1616" s="13">
        <v>45225.0</v>
      </c>
      <c r="I1616" s="14" t="str">
        <f t="shared" si="1"/>
        <v>out.</v>
      </c>
      <c r="O1616" s="8"/>
    </row>
    <row r="1617" ht="15.75" customHeight="1">
      <c r="A1617" s="19">
        <v>61.0</v>
      </c>
      <c r="B1617" s="19" t="s">
        <v>106</v>
      </c>
      <c r="C1617" s="19" t="s">
        <v>107</v>
      </c>
      <c r="D1617" s="20" t="s">
        <v>11</v>
      </c>
      <c r="E1617" s="21" t="s">
        <v>35</v>
      </c>
      <c r="F1617" s="22">
        <v>18.69</v>
      </c>
      <c r="G1617" s="22">
        <f>F1617-'Estatística'!$D$6/'Estatística'!$D$10</f>
        <v>17.68698037</v>
      </c>
      <c r="H1617" s="23">
        <v>45225.0</v>
      </c>
      <c r="I1617" s="24" t="str">
        <f t="shared" si="1"/>
        <v>out.</v>
      </c>
      <c r="O1617" s="8"/>
    </row>
    <row r="1618" ht="15.75" customHeight="1">
      <c r="A1618" s="9">
        <v>26.0</v>
      </c>
      <c r="B1618" s="9" t="s">
        <v>211</v>
      </c>
      <c r="C1618" s="9" t="s">
        <v>212</v>
      </c>
      <c r="D1618" s="10" t="s">
        <v>30</v>
      </c>
      <c r="E1618" s="11" t="s">
        <v>31</v>
      </c>
      <c r="F1618" s="12">
        <v>52.9</v>
      </c>
      <c r="G1618" s="12">
        <f>F1618-'Estatística'!$D$6/'Estatística'!$D$10</f>
        <v>51.89698037</v>
      </c>
      <c r="H1618" s="13">
        <v>45225.0</v>
      </c>
      <c r="I1618" s="14" t="str">
        <f t="shared" si="1"/>
        <v>out.</v>
      </c>
      <c r="O1618" s="8"/>
    </row>
    <row r="1619" ht="15.75" customHeight="1">
      <c r="A1619" s="19">
        <v>65.0</v>
      </c>
      <c r="B1619" s="19" t="s">
        <v>209</v>
      </c>
      <c r="C1619" s="19" t="s">
        <v>210</v>
      </c>
      <c r="D1619" s="20" t="s">
        <v>30</v>
      </c>
      <c r="E1619" s="21" t="s">
        <v>76</v>
      </c>
      <c r="F1619" s="22">
        <v>10.62</v>
      </c>
      <c r="G1619" s="22">
        <f>F1619-'Estatística'!$D$6/'Estatística'!$D$10</f>
        <v>9.616980371</v>
      </c>
      <c r="H1619" s="23">
        <v>45225.0</v>
      </c>
      <c r="I1619" s="24" t="str">
        <f t="shared" si="1"/>
        <v>out.</v>
      </c>
      <c r="O1619" s="8"/>
    </row>
    <row r="1620" ht="15.75" customHeight="1">
      <c r="A1620" s="9">
        <v>20.0</v>
      </c>
      <c r="B1620" s="9" t="s">
        <v>161</v>
      </c>
      <c r="C1620" s="9" t="s">
        <v>162</v>
      </c>
      <c r="D1620" s="10" t="s">
        <v>30</v>
      </c>
      <c r="E1620" s="11" t="s">
        <v>72</v>
      </c>
      <c r="F1620" s="12">
        <v>23.67</v>
      </c>
      <c r="G1620" s="12">
        <f>F1620-'Estatística'!$D$6/'Estatística'!$D$10</f>
        <v>22.66698037</v>
      </c>
      <c r="H1620" s="13">
        <v>45225.0</v>
      </c>
      <c r="I1620" s="14" t="str">
        <f t="shared" si="1"/>
        <v>out.</v>
      </c>
      <c r="O1620" s="8"/>
    </row>
    <row r="1621" ht="15.75" customHeight="1">
      <c r="A1621" s="19">
        <v>11.0</v>
      </c>
      <c r="B1621" s="19" t="s">
        <v>227</v>
      </c>
      <c r="C1621" s="19" t="s">
        <v>228</v>
      </c>
      <c r="D1621" s="20" t="s">
        <v>11</v>
      </c>
      <c r="E1621" s="21" t="s">
        <v>91</v>
      </c>
      <c r="F1621" s="22">
        <v>2.93</v>
      </c>
      <c r="G1621" s="22">
        <f>F1621-'Estatística'!$D$6/'Estatística'!$D$10</f>
        <v>1.926980371</v>
      </c>
      <c r="H1621" s="23">
        <v>45226.0</v>
      </c>
      <c r="I1621" s="24" t="str">
        <f t="shared" si="1"/>
        <v>out.</v>
      </c>
      <c r="O1621" s="8"/>
    </row>
    <row r="1622" ht="15.75" customHeight="1">
      <c r="A1622" s="9">
        <v>34.0</v>
      </c>
      <c r="B1622" s="9" t="s">
        <v>177</v>
      </c>
      <c r="C1622" s="9" t="s">
        <v>178</v>
      </c>
      <c r="D1622" s="10" t="s">
        <v>11</v>
      </c>
      <c r="E1622" s="11" t="s">
        <v>56</v>
      </c>
      <c r="F1622" s="12">
        <v>72.92</v>
      </c>
      <c r="G1622" s="12">
        <f>F1622-'Estatística'!$D$6/'Estatística'!$D$10</f>
        <v>71.91698037</v>
      </c>
      <c r="H1622" s="13">
        <v>45226.0</v>
      </c>
      <c r="I1622" s="14" t="str">
        <f t="shared" si="1"/>
        <v>out.</v>
      </c>
      <c r="O1622" s="8"/>
    </row>
    <row r="1623" ht="15.75" customHeight="1">
      <c r="A1623" s="19">
        <v>27.0</v>
      </c>
      <c r="B1623" s="19" t="s">
        <v>173</v>
      </c>
      <c r="C1623" s="19" t="s">
        <v>174</v>
      </c>
      <c r="D1623" s="20" t="s">
        <v>30</v>
      </c>
      <c r="E1623" s="21" t="s">
        <v>72</v>
      </c>
      <c r="F1623" s="22">
        <v>18.28</v>
      </c>
      <c r="G1623" s="22">
        <f>F1623-'Estatística'!$D$6/'Estatística'!$D$10</f>
        <v>17.27698037</v>
      </c>
      <c r="H1623" s="23">
        <v>45226.0</v>
      </c>
      <c r="I1623" s="24" t="str">
        <f t="shared" si="1"/>
        <v>out.</v>
      </c>
      <c r="O1623" s="8"/>
    </row>
    <row r="1624" ht="15.75" customHeight="1">
      <c r="A1624" s="9">
        <v>47.0</v>
      </c>
      <c r="B1624" s="9" t="s">
        <v>120</v>
      </c>
      <c r="C1624" s="9" t="s">
        <v>121</v>
      </c>
      <c r="D1624" s="10" t="s">
        <v>30</v>
      </c>
      <c r="E1624" s="11" t="s">
        <v>82</v>
      </c>
      <c r="F1624" s="12">
        <v>10.89</v>
      </c>
      <c r="G1624" s="12">
        <f>F1624-'Estatística'!$D$6/'Estatística'!$D$10</f>
        <v>9.886980371</v>
      </c>
      <c r="H1624" s="13">
        <v>45226.0</v>
      </c>
      <c r="I1624" s="14" t="str">
        <f t="shared" si="1"/>
        <v>out.</v>
      </c>
      <c r="O1624" s="8"/>
    </row>
    <row r="1625" ht="15.75" customHeight="1">
      <c r="A1625" s="19">
        <v>24.0</v>
      </c>
      <c r="B1625" s="19" t="s">
        <v>139</v>
      </c>
      <c r="C1625" s="19" t="s">
        <v>140</v>
      </c>
      <c r="D1625" s="20" t="s">
        <v>11</v>
      </c>
      <c r="E1625" s="21" t="s">
        <v>79</v>
      </c>
      <c r="F1625" s="22">
        <v>31.01</v>
      </c>
      <c r="G1625" s="22">
        <f>F1625-'Estatística'!$D$6/'Estatística'!$D$10</f>
        <v>30.00698037</v>
      </c>
      <c r="H1625" s="23">
        <v>45226.0</v>
      </c>
      <c r="I1625" s="24" t="str">
        <f t="shared" si="1"/>
        <v>out.</v>
      </c>
      <c r="O1625" s="8"/>
    </row>
    <row r="1626" ht="15.75" customHeight="1">
      <c r="A1626" s="9">
        <v>49.0</v>
      </c>
      <c r="B1626" s="9" t="s">
        <v>179</v>
      </c>
      <c r="C1626" s="9" t="s">
        <v>180</v>
      </c>
      <c r="D1626" s="10" t="s">
        <v>30</v>
      </c>
      <c r="E1626" s="11" t="s">
        <v>31</v>
      </c>
      <c r="F1626" s="12">
        <v>49.78</v>
      </c>
      <c r="G1626" s="12">
        <f>F1626-'Estatística'!$D$6/'Estatística'!$D$10</f>
        <v>48.77698037</v>
      </c>
      <c r="H1626" s="13">
        <v>45227.0</v>
      </c>
      <c r="I1626" s="14" t="str">
        <f t="shared" si="1"/>
        <v>out.</v>
      </c>
      <c r="O1626" s="8"/>
    </row>
    <row r="1627" ht="15.75" customHeight="1">
      <c r="A1627" s="19">
        <v>29.0</v>
      </c>
      <c r="B1627" s="19" t="s">
        <v>122</v>
      </c>
      <c r="C1627" s="19" t="s">
        <v>123</v>
      </c>
      <c r="D1627" s="20" t="s">
        <v>11</v>
      </c>
      <c r="E1627" s="21" t="s">
        <v>46</v>
      </c>
      <c r="F1627" s="22">
        <v>13.53</v>
      </c>
      <c r="G1627" s="22">
        <f>F1627-'Estatística'!$D$6/'Estatística'!$D$10</f>
        <v>12.52698037</v>
      </c>
      <c r="H1627" s="23">
        <v>45227.0</v>
      </c>
      <c r="I1627" s="24" t="str">
        <f t="shared" si="1"/>
        <v>out.</v>
      </c>
      <c r="O1627" s="8"/>
    </row>
    <row r="1628" ht="15.75" customHeight="1">
      <c r="A1628" s="9">
        <v>16.0</v>
      </c>
      <c r="B1628" s="9" t="s">
        <v>175</v>
      </c>
      <c r="C1628" s="9" t="s">
        <v>176</v>
      </c>
      <c r="D1628" s="10" t="s">
        <v>30</v>
      </c>
      <c r="E1628" s="11" t="s">
        <v>35</v>
      </c>
      <c r="F1628" s="12">
        <v>15.42</v>
      </c>
      <c r="G1628" s="12">
        <f>F1628-'Estatística'!$D$6/'Estatística'!$D$10</f>
        <v>14.41698037</v>
      </c>
      <c r="H1628" s="13">
        <v>45227.0</v>
      </c>
      <c r="I1628" s="14" t="str">
        <f t="shared" si="1"/>
        <v>out.</v>
      </c>
      <c r="O1628" s="8"/>
    </row>
    <row r="1629" ht="15.75" customHeight="1">
      <c r="A1629" s="19">
        <v>69.0</v>
      </c>
      <c r="B1629" s="19" t="s">
        <v>108</v>
      </c>
      <c r="C1629" s="19" t="s">
        <v>145</v>
      </c>
      <c r="D1629" s="20" t="s">
        <v>11</v>
      </c>
      <c r="E1629" s="21" t="s">
        <v>31</v>
      </c>
      <c r="F1629" s="22">
        <v>54.34</v>
      </c>
      <c r="G1629" s="22">
        <f>F1629-'Estatística'!$D$6/'Estatística'!$D$10</f>
        <v>53.33698037</v>
      </c>
      <c r="H1629" s="23">
        <v>45227.0</v>
      </c>
      <c r="I1629" s="24" t="str">
        <f t="shared" si="1"/>
        <v>out.</v>
      </c>
      <c r="O1629" s="8"/>
    </row>
    <row r="1630" ht="15.75" customHeight="1">
      <c r="A1630" s="9">
        <v>13.0</v>
      </c>
      <c r="B1630" s="9" t="s">
        <v>137</v>
      </c>
      <c r="C1630" s="9" t="s">
        <v>138</v>
      </c>
      <c r="D1630" s="10" t="s">
        <v>30</v>
      </c>
      <c r="E1630" s="11" t="s">
        <v>50</v>
      </c>
      <c r="F1630" s="12">
        <v>29.36</v>
      </c>
      <c r="G1630" s="12">
        <f>F1630-'Estatística'!$D$6/'Estatística'!$D$10</f>
        <v>28.35698037</v>
      </c>
      <c r="H1630" s="13">
        <v>45231.0</v>
      </c>
      <c r="I1630" s="14" t="str">
        <f t="shared" si="1"/>
        <v>nov.</v>
      </c>
      <c r="O1630" s="8"/>
    </row>
    <row r="1631" ht="15.75" customHeight="1">
      <c r="A1631" s="19">
        <v>62.0</v>
      </c>
      <c r="B1631" s="19" t="s">
        <v>156</v>
      </c>
      <c r="C1631" s="19" t="s">
        <v>157</v>
      </c>
      <c r="D1631" s="20" t="s">
        <v>30</v>
      </c>
      <c r="E1631" s="21" t="s">
        <v>82</v>
      </c>
      <c r="F1631" s="22">
        <v>12.04</v>
      </c>
      <c r="G1631" s="22">
        <f>F1631-'Estatística'!$D$6/'Estatística'!$D$10</f>
        <v>11.03698037</v>
      </c>
      <c r="H1631" s="23">
        <v>45231.0</v>
      </c>
      <c r="I1631" s="24" t="str">
        <f t="shared" si="1"/>
        <v>nov.</v>
      </c>
      <c r="O1631" s="8"/>
    </row>
    <row r="1632" ht="15.75" customHeight="1">
      <c r="A1632" s="9">
        <v>92.0</v>
      </c>
      <c r="B1632" s="9" t="s">
        <v>112</v>
      </c>
      <c r="C1632" s="9" t="s">
        <v>197</v>
      </c>
      <c r="D1632" s="10" t="s">
        <v>30</v>
      </c>
      <c r="E1632" s="11" t="s">
        <v>39</v>
      </c>
      <c r="F1632" s="12">
        <v>39.64</v>
      </c>
      <c r="G1632" s="12">
        <f>F1632-'Estatística'!$D$6/'Estatística'!$D$10</f>
        <v>38.63698037</v>
      </c>
      <c r="H1632" s="13">
        <v>45231.0</v>
      </c>
      <c r="I1632" s="14" t="str">
        <f t="shared" si="1"/>
        <v>nov.</v>
      </c>
      <c r="O1632" s="8"/>
    </row>
    <row r="1633" ht="15.75" customHeight="1">
      <c r="A1633" s="19">
        <v>79.0</v>
      </c>
      <c r="B1633" s="19" t="s">
        <v>101</v>
      </c>
      <c r="C1633" s="19" t="s">
        <v>102</v>
      </c>
      <c r="D1633" s="20" t="s">
        <v>11</v>
      </c>
      <c r="E1633" s="21" t="s">
        <v>31</v>
      </c>
      <c r="F1633" s="22">
        <v>52.77</v>
      </c>
      <c r="G1633" s="22">
        <f>F1633-'Estatística'!$D$6/'Estatística'!$D$10</f>
        <v>51.76698037</v>
      </c>
      <c r="H1633" s="23">
        <v>45231.0</v>
      </c>
      <c r="I1633" s="24" t="str">
        <f t="shared" si="1"/>
        <v>nov.</v>
      </c>
      <c r="O1633" s="8"/>
    </row>
    <row r="1634" ht="15.75" customHeight="1">
      <c r="A1634" s="9">
        <v>40.0</v>
      </c>
      <c r="B1634" s="9" t="s">
        <v>122</v>
      </c>
      <c r="C1634" s="9" t="s">
        <v>185</v>
      </c>
      <c r="D1634" s="10" t="s">
        <v>11</v>
      </c>
      <c r="E1634" s="11" t="s">
        <v>91</v>
      </c>
      <c r="F1634" s="12">
        <v>2.28</v>
      </c>
      <c r="G1634" s="12">
        <f>F1634-'Estatística'!$D$6/'Estatística'!$D$10</f>
        <v>1.276980371</v>
      </c>
      <c r="H1634" s="13">
        <v>45231.0</v>
      </c>
      <c r="I1634" s="14" t="str">
        <f t="shared" si="1"/>
        <v>nov.</v>
      </c>
      <c r="O1634" s="8"/>
    </row>
    <row r="1635" ht="15.75" customHeight="1">
      <c r="A1635" s="19">
        <v>71.0</v>
      </c>
      <c r="B1635" s="19" t="s">
        <v>150</v>
      </c>
      <c r="C1635" s="19" t="s">
        <v>151</v>
      </c>
      <c r="D1635" s="20" t="s">
        <v>30</v>
      </c>
      <c r="E1635" s="21" t="s">
        <v>52</v>
      </c>
      <c r="F1635" s="22">
        <v>57.49</v>
      </c>
      <c r="G1635" s="22">
        <f>F1635-'Estatística'!$D$6/'Estatística'!$D$10</f>
        <v>56.48698037</v>
      </c>
      <c r="H1635" s="23">
        <v>45231.0</v>
      </c>
      <c r="I1635" s="24" t="str">
        <f t="shared" si="1"/>
        <v>nov.</v>
      </c>
      <c r="O1635" s="8"/>
    </row>
    <row r="1636" ht="15.75" customHeight="1">
      <c r="A1636" s="9">
        <v>14.0</v>
      </c>
      <c r="B1636" s="9" t="s">
        <v>171</v>
      </c>
      <c r="C1636" s="9" t="s">
        <v>172</v>
      </c>
      <c r="D1636" s="10" t="s">
        <v>11</v>
      </c>
      <c r="E1636" s="11" t="s">
        <v>52</v>
      </c>
      <c r="F1636" s="12">
        <v>57.79</v>
      </c>
      <c r="G1636" s="12">
        <f>F1636-'Estatística'!$D$6/'Estatística'!$D$10</f>
        <v>56.78698037</v>
      </c>
      <c r="H1636" s="13">
        <v>45231.0</v>
      </c>
      <c r="I1636" s="14" t="str">
        <f t="shared" si="1"/>
        <v>nov.</v>
      </c>
      <c r="O1636" s="8"/>
    </row>
    <row r="1637" ht="15.75" customHeight="1">
      <c r="A1637" s="19">
        <v>22.0</v>
      </c>
      <c r="B1637" s="19" t="s">
        <v>131</v>
      </c>
      <c r="C1637" s="19" t="s">
        <v>132</v>
      </c>
      <c r="D1637" s="20" t="s">
        <v>11</v>
      </c>
      <c r="E1637" s="21" t="s">
        <v>35</v>
      </c>
      <c r="F1637" s="22">
        <v>21.24</v>
      </c>
      <c r="G1637" s="22">
        <f>F1637-'Estatística'!$D$6/'Estatística'!$D$10</f>
        <v>20.23698037</v>
      </c>
      <c r="H1637" s="23">
        <v>45231.0</v>
      </c>
      <c r="I1637" s="24" t="str">
        <f t="shared" si="1"/>
        <v>nov.</v>
      </c>
      <c r="O1637" s="8"/>
    </row>
    <row r="1638" ht="15.75" customHeight="1">
      <c r="A1638" s="9">
        <v>68.0</v>
      </c>
      <c r="B1638" s="9" t="s">
        <v>41</v>
      </c>
      <c r="C1638" s="9" t="s">
        <v>42</v>
      </c>
      <c r="D1638" s="10" t="s">
        <v>30</v>
      </c>
      <c r="E1638" s="11" t="s">
        <v>79</v>
      </c>
      <c r="F1638" s="12">
        <v>37.5</v>
      </c>
      <c r="G1638" s="12">
        <f>F1638-'Estatística'!$D$6/'Estatística'!$D$10</f>
        <v>36.49698037</v>
      </c>
      <c r="H1638" s="13">
        <v>45231.0</v>
      </c>
      <c r="I1638" s="14" t="str">
        <f t="shared" si="1"/>
        <v>nov.</v>
      </c>
      <c r="O1638" s="8"/>
    </row>
    <row r="1639" ht="15.75" customHeight="1">
      <c r="A1639" s="19">
        <v>63.0</v>
      </c>
      <c r="B1639" s="19" t="s">
        <v>225</v>
      </c>
      <c r="C1639" s="19" t="s">
        <v>226</v>
      </c>
      <c r="D1639" s="20" t="s">
        <v>11</v>
      </c>
      <c r="E1639" s="21" t="s">
        <v>88</v>
      </c>
      <c r="F1639" s="22">
        <v>36.42</v>
      </c>
      <c r="G1639" s="22">
        <f>F1639-'Estatística'!$D$6/'Estatística'!$D$10</f>
        <v>35.41698037</v>
      </c>
      <c r="H1639" s="23">
        <v>45232.0</v>
      </c>
      <c r="I1639" s="24" t="str">
        <f t="shared" si="1"/>
        <v>nov.</v>
      </c>
      <c r="O1639" s="8"/>
    </row>
    <row r="1640" ht="15.75" customHeight="1">
      <c r="A1640" s="9">
        <v>59.0</v>
      </c>
      <c r="B1640" s="9" t="s">
        <v>103</v>
      </c>
      <c r="C1640" s="9" t="s">
        <v>104</v>
      </c>
      <c r="D1640" s="10" t="s">
        <v>11</v>
      </c>
      <c r="E1640" s="11" t="s">
        <v>97</v>
      </c>
      <c r="F1640" s="12">
        <v>1.97</v>
      </c>
      <c r="G1640" s="12">
        <f>F1640-'Estatística'!$D$6/'Estatística'!$D$10</f>
        <v>0.9669803714</v>
      </c>
      <c r="H1640" s="13">
        <v>45232.0</v>
      </c>
      <c r="I1640" s="14" t="str">
        <f t="shared" si="1"/>
        <v>nov.</v>
      </c>
      <c r="O1640" s="8"/>
    </row>
    <row r="1641" ht="15.75" customHeight="1">
      <c r="A1641" s="19">
        <v>52.0</v>
      </c>
      <c r="B1641" s="19" t="s">
        <v>181</v>
      </c>
      <c r="C1641" s="19" t="s">
        <v>182</v>
      </c>
      <c r="D1641" s="20" t="s">
        <v>30</v>
      </c>
      <c r="E1641" s="21" t="s">
        <v>76</v>
      </c>
      <c r="F1641" s="22">
        <v>10.88</v>
      </c>
      <c r="G1641" s="22">
        <f>F1641-'Estatística'!$D$6/'Estatística'!$D$10</f>
        <v>9.876980371</v>
      </c>
      <c r="H1641" s="23">
        <v>45232.0</v>
      </c>
      <c r="I1641" s="24" t="str">
        <f t="shared" si="1"/>
        <v>nov.</v>
      </c>
      <c r="O1641" s="8"/>
    </row>
    <row r="1642" ht="15.75" customHeight="1">
      <c r="A1642" s="9">
        <v>44.0</v>
      </c>
      <c r="B1642" s="9" t="s">
        <v>215</v>
      </c>
      <c r="C1642" s="9" t="s">
        <v>216</v>
      </c>
      <c r="D1642" s="10" t="s">
        <v>30</v>
      </c>
      <c r="E1642" s="11" t="s">
        <v>97</v>
      </c>
      <c r="F1642" s="12">
        <v>2.5</v>
      </c>
      <c r="G1642" s="12">
        <f>F1642-'Estatística'!$D$6/'Estatística'!$D$10</f>
        <v>1.496980371</v>
      </c>
      <c r="H1642" s="13">
        <v>45232.0</v>
      </c>
      <c r="I1642" s="14" t="str">
        <f t="shared" si="1"/>
        <v>nov.</v>
      </c>
      <c r="O1642" s="8"/>
    </row>
    <row r="1643" ht="15.75" customHeight="1">
      <c r="A1643" s="19">
        <v>60.0</v>
      </c>
      <c r="B1643" s="19" t="s">
        <v>65</v>
      </c>
      <c r="C1643" s="19" t="s">
        <v>66</v>
      </c>
      <c r="D1643" s="20" t="s">
        <v>11</v>
      </c>
      <c r="E1643" s="21" t="s">
        <v>31</v>
      </c>
      <c r="F1643" s="22">
        <v>38.19</v>
      </c>
      <c r="G1643" s="22">
        <f>F1643-'Estatística'!$D$6/'Estatística'!$D$10</f>
        <v>37.18698037</v>
      </c>
      <c r="H1643" s="23">
        <v>45232.0</v>
      </c>
      <c r="I1643" s="24" t="str">
        <f t="shared" si="1"/>
        <v>nov.</v>
      </c>
      <c r="O1643" s="8"/>
    </row>
    <row r="1644" ht="15.75" customHeight="1">
      <c r="A1644" s="9">
        <v>52.0</v>
      </c>
      <c r="B1644" s="9" t="s">
        <v>181</v>
      </c>
      <c r="C1644" s="9" t="s">
        <v>182</v>
      </c>
      <c r="D1644" s="10" t="s">
        <v>30</v>
      </c>
      <c r="E1644" s="11" t="s">
        <v>56</v>
      </c>
      <c r="F1644" s="12">
        <v>74.26</v>
      </c>
      <c r="G1644" s="12">
        <f>F1644-'Estatística'!$D$6/'Estatística'!$D$10</f>
        <v>73.25698037</v>
      </c>
      <c r="H1644" s="13">
        <v>45232.0</v>
      </c>
      <c r="I1644" s="14" t="str">
        <f t="shared" si="1"/>
        <v>nov.</v>
      </c>
      <c r="O1644" s="8"/>
    </row>
    <row r="1645" ht="15.75" customHeight="1">
      <c r="A1645" s="19">
        <v>11.0</v>
      </c>
      <c r="B1645" s="19" t="s">
        <v>227</v>
      </c>
      <c r="C1645" s="19" t="s">
        <v>228</v>
      </c>
      <c r="D1645" s="20" t="s">
        <v>30</v>
      </c>
      <c r="E1645" s="21" t="s">
        <v>35</v>
      </c>
      <c r="F1645" s="22">
        <v>20.53</v>
      </c>
      <c r="G1645" s="22">
        <f>F1645-'Estatística'!$D$6/'Estatística'!$D$10</f>
        <v>19.52698037</v>
      </c>
      <c r="H1645" s="23">
        <v>45233.0</v>
      </c>
      <c r="I1645" s="24" t="str">
        <f t="shared" si="1"/>
        <v>nov.</v>
      </c>
      <c r="O1645" s="8"/>
    </row>
    <row r="1646" ht="15.75" customHeight="1">
      <c r="A1646" s="9">
        <v>18.0</v>
      </c>
      <c r="B1646" s="9" t="s">
        <v>163</v>
      </c>
      <c r="C1646" s="9" t="s">
        <v>240</v>
      </c>
      <c r="D1646" s="10" t="s">
        <v>30</v>
      </c>
      <c r="E1646" s="11" t="s">
        <v>79</v>
      </c>
      <c r="F1646" s="12">
        <v>34.32</v>
      </c>
      <c r="G1646" s="12">
        <f>F1646-'Estatística'!$D$6/'Estatística'!$D$10</f>
        <v>33.31698037</v>
      </c>
      <c r="H1646" s="13">
        <v>45233.0</v>
      </c>
      <c r="I1646" s="14" t="str">
        <f t="shared" si="1"/>
        <v>nov.</v>
      </c>
      <c r="O1646" s="8"/>
    </row>
    <row r="1647" ht="15.75" customHeight="1">
      <c r="A1647" s="19">
        <v>90.0</v>
      </c>
      <c r="B1647" s="19" t="s">
        <v>219</v>
      </c>
      <c r="C1647" s="19" t="s">
        <v>220</v>
      </c>
      <c r="D1647" s="20" t="s">
        <v>11</v>
      </c>
      <c r="E1647" s="21" t="s">
        <v>88</v>
      </c>
      <c r="F1647" s="22">
        <v>39.01</v>
      </c>
      <c r="G1647" s="22">
        <f>F1647-'Estatística'!$D$6/'Estatística'!$D$10</f>
        <v>38.00698037</v>
      </c>
      <c r="H1647" s="23">
        <v>45233.0</v>
      </c>
      <c r="I1647" s="24" t="str">
        <f t="shared" si="1"/>
        <v>nov.</v>
      </c>
      <c r="O1647" s="8"/>
    </row>
    <row r="1648" ht="15.75" customHeight="1">
      <c r="A1648" s="9">
        <v>48.0</v>
      </c>
      <c r="B1648" s="9" t="s">
        <v>41</v>
      </c>
      <c r="C1648" s="9" t="s">
        <v>45</v>
      </c>
      <c r="D1648" s="10" t="s">
        <v>30</v>
      </c>
      <c r="E1648" s="11" t="s">
        <v>79</v>
      </c>
      <c r="F1648" s="12">
        <v>28.47</v>
      </c>
      <c r="G1648" s="12">
        <f>F1648-'Estatística'!$D$6/'Estatística'!$D$10</f>
        <v>27.46698037</v>
      </c>
      <c r="H1648" s="13">
        <v>45233.0</v>
      </c>
      <c r="I1648" s="14" t="str">
        <f t="shared" si="1"/>
        <v>nov.</v>
      </c>
      <c r="O1648" s="8"/>
    </row>
    <row r="1649" ht="15.75" customHeight="1">
      <c r="A1649" s="19">
        <v>15.0</v>
      </c>
      <c r="B1649" s="19" t="s">
        <v>58</v>
      </c>
      <c r="C1649" s="19" t="s">
        <v>59</v>
      </c>
      <c r="D1649" s="20" t="s">
        <v>30</v>
      </c>
      <c r="E1649" s="21" t="s">
        <v>46</v>
      </c>
      <c r="F1649" s="22">
        <v>12.41</v>
      </c>
      <c r="G1649" s="22">
        <f>F1649-'Estatística'!$D$6/'Estatística'!$D$10</f>
        <v>11.40698037</v>
      </c>
      <c r="H1649" s="23">
        <v>45233.0</v>
      </c>
      <c r="I1649" s="24" t="str">
        <f t="shared" si="1"/>
        <v>nov.</v>
      </c>
      <c r="O1649" s="8"/>
    </row>
    <row r="1650" ht="15.75" customHeight="1">
      <c r="A1650" s="9">
        <v>5.0</v>
      </c>
      <c r="B1650" s="9" t="s">
        <v>167</v>
      </c>
      <c r="C1650" s="9" t="s">
        <v>168</v>
      </c>
      <c r="D1650" s="10" t="s">
        <v>11</v>
      </c>
      <c r="E1650" s="11" t="s">
        <v>39</v>
      </c>
      <c r="F1650" s="12">
        <v>33.5</v>
      </c>
      <c r="G1650" s="12">
        <f>F1650-'Estatística'!$D$6/'Estatística'!$D$10</f>
        <v>32.49698037</v>
      </c>
      <c r="H1650" s="13">
        <v>45233.0</v>
      </c>
      <c r="I1650" s="14" t="str">
        <f t="shared" si="1"/>
        <v>nov.</v>
      </c>
      <c r="O1650" s="8"/>
    </row>
    <row r="1651" ht="15.75" customHeight="1">
      <c r="A1651" s="19">
        <v>86.0</v>
      </c>
      <c r="B1651" s="19" t="s">
        <v>62</v>
      </c>
      <c r="C1651" s="19" t="s">
        <v>63</v>
      </c>
      <c r="D1651" s="20" t="s">
        <v>30</v>
      </c>
      <c r="E1651" s="21" t="s">
        <v>60</v>
      </c>
      <c r="F1651" s="22">
        <v>52.31</v>
      </c>
      <c r="G1651" s="22">
        <f>F1651-'Estatística'!$D$6/'Estatística'!$D$10</f>
        <v>51.30698037</v>
      </c>
      <c r="H1651" s="23">
        <v>45234.0</v>
      </c>
      <c r="I1651" s="24" t="str">
        <f t="shared" si="1"/>
        <v>nov.</v>
      </c>
      <c r="O1651" s="8"/>
    </row>
    <row r="1652" ht="15.75" customHeight="1">
      <c r="A1652" s="9">
        <v>55.0</v>
      </c>
      <c r="B1652" s="9" t="s">
        <v>202</v>
      </c>
      <c r="C1652" s="9" t="s">
        <v>203</v>
      </c>
      <c r="D1652" s="10" t="s">
        <v>11</v>
      </c>
      <c r="E1652" s="11" t="s">
        <v>50</v>
      </c>
      <c r="F1652" s="12">
        <v>29.29</v>
      </c>
      <c r="G1652" s="12">
        <f>F1652-'Estatística'!$D$6/'Estatística'!$D$10</f>
        <v>28.28698037</v>
      </c>
      <c r="H1652" s="13">
        <v>45234.0</v>
      </c>
      <c r="I1652" s="14" t="str">
        <f t="shared" si="1"/>
        <v>nov.</v>
      </c>
      <c r="O1652" s="8"/>
    </row>
    <row r="1653" ht="15.75" customHeight="1">
      <c r="A1653" s="19">
        <v>49.0</v>
      </c>
      <c r="B1653" s="19" t="s">
        <v>179</v>
      </c>
      <c r="C1653" s="19" t="s">
        <v>180</v>
      </c>
      <c r="D1653" s="20" t="s">
        <v>11</v>
      </c>
      <c r="E1653" s="21" t="s">
        <v>79</v>
      </c>
      <c r="F1653" s="22">
        <v>34.56</v>
      </c>
      <c r="G1653" s="22">
        <f>F1653-'Estatística'!$D$6/'Estatística'!$D$10</f>
        <v>33.55698037</v>
      </c>
      <c r="H1653" s="23">
        <v>45234.0</v>
      </c>
      <c r="I1653" s="24" t="str">
        <f t="shared" si="1"/>
        <v>nov.</v>
      </c>
      <c r="O1653" s="8"/>
    </row>
    <row r="1654" ht="15.75" customHeight="1">
      <c r="A1654" s="9">
        <v>74.0</v>
      </c>
      <c r="B1654" s="9" t="s">
        <v>9</v>
      </c>
      <c r="C1654" s="9" t="s">
        <v>124</v>
      </c>
      <c r="D1654" s="10" t="s">
        <v>30</v>
      </c>
      <c r="E1654" s="11" t="s">
        <v>31</v>
      </c>
      <c r="F1654" s="12">
        <v>36.81</v>
      </c>
      <c r="G1654" s="12">
        <f>F1654-'Estatística'!$D$6/'Estatística'!$D$10</f>
        <v>35.80698037</v>
      </c>
      <c r="H1654" s="13">
        <v>45234.0</v>
      </c>
      <c r="I1654" s="14" t="str">
        <f t="shared" si="1"/>
        <v>nov.</v>
      </c>
      <c r="O1654" s="8"/>
    </row>
    <row r="1655" ht="15.75" customHeight="1">
      <c r="A1655" s="19">
        <v>8.0</v>
      </c>
      <c r="B1655" s="19" t="s">
        <v>108</v>
      </c>
      <c r="C1655" s="19" t="s">
        <v>109</v>
      </c>
      <c r="D1655" s="20" t="s">
        <v>11</v>
      </c>
      <c r="E1655" s="21" t="s">
        <v>52</v>
      </c>
      <c r="F1655" s="22">
        <v>65.44</v>
      </c>
      <c r="G1655" s="22">
        <f>F1655-'Estatística'!$D$6/'Estatística'!$D$10</f>
        <v>64.43698037</v>
      </c>
      <c r="H1655" s="23">
        <v>45234.0</v>
      </c>
      <c r="I1655" s="24" t="str">
        <f t="shared" si="1"/>
        <v>nov.</v>
      </c>
      <c r="O1655" s="8"/>
    </row>
    <row r="1656" ht="15.75" customHeight="1">
      <c r="A1656" s="9">
        <v>72.0</v>
      </c>
      <c r="B1656" s="9" t="s">
        <v>133</v>
      </c>
      <c r="C1656" s="9" t="s">
        <v>134</v>
      </c>
      <c r="D1656" s="10" t="s">
        <v>30</v>
      </c>
      <c r="E1656" s="11" t="s">
        <v>68</v>
      </c>
      <c r="F1656" s="12">
        <v>14.88</v>
      </c>
      <c r="G1656" s="12">
        <f>F1656-'Estatística'!$D$6/'Estatística'!$D$10</f>
        <v>13.87698037</v>
      </c>
      <c r="H1656" s="13">
        <v>45234.0</v>
      </c>
      <c r="I1656" s="14" t="str">
        <f t="shared" si="1"/>
        <v>nov.</v>
      </c>
      <c r="O1656" s="8"/>
    </row>
    <row r="1657" ht="15.75" customHeight="1">
      <c r="A1657" s="19">
        <v>21.0</v>
      </c>
      <c r="B1657" s="19" t="s">
        <v>186</v>
      </c>
      <c r="C1657" s="19" t="s">
        <v>187</v>
      </c>
      <c r="D1657" s="20" t="s">
        <v>11</v>
      </c>
      <c r="E1657" s="21" t="s">
        <v>88</v>
      </c>
      <c r="F1657" s="22">
        <v>38.62</v>
      </c>
      <c r="G1657" s="22">
        <f>F1657-'Estatística'!$D$6/'Estatística'!$D$10</f>
        <v>37.61698037</v>
      </c>
      <c r="H1657" s="23">
        <v>45235.0</v>
      </c>
      <c r="I1657" s="24" t="str">
        <f t="shared" si="1"/>
        <v>nov.</v>
      </c>
      <c r="O1657" s="8"/>
    </row>
    <row r="1658" ht="15.75" customHeight="1">
      <c r="A1658" s="9">
        <v>55.0</v>
      </c>
      <c r="B1658" s="9" t="s">
        <v>202</v>
      </c>
      <c r="C1658" s="9" t="s">
        <v>203</v>
      </c>
      <c r="D1658" s="10" t="s">
        <v>11</v>
      </c>
      <c r="E1658" s="11" t="s">
        <v>88</v>
      </c>
      <c r="F1658" s="12">
        <v>33.88</v>
      </c>
      <c r="G1658" s="12">
        <f>F1658-'Estatística'!$D$6/'Estatística'!$D$10</f>
        <v>32.87698037</v>
      </c>
      <c r="H1658" s="13">
        <v>45235.0</v>
      </c>
      <c r="I1658" s="14" t="str">
        <f t="shared" si="1"/>
        <v>nov.</v>
      </c>
      <c r="O1658" s="8"/>
    </row>
    <row r="1659" ht="15.75" customHeight="1">
      <c r="A1659" s="19">
        <v>3.0</v>
      </c>
      <c r="B1659" s="19" t="s">
        <v>80</v>
      </c>
      <c r="C1659" s="19" t="s">
        <v>81</v>
      </c>
      <c r="D1659" s="20" t="s">
        <v>30</v>
      </c>
      <c r="E1659" s="21" t="s">
        <v>94</v>
      </c>
      <c r="F1659" s="22">
        <v>27.96</v>
      </c>
      <c r="G1659" s="22">
        <f>F1659-'Estatística'!$D$6/'Estatística'!$D$10</f>
        <v>26.95698037</v>
      </c>
      <c r="H1659" s="23">
        <v>45235.0</v>
      </c>
      <c r="I1659" s="24" t="str">
        <f t="shared" si="1"/>
        <v>nov.</v>
      </c>
      <c r="O1659" s="8"/>
    </row>
    <row r="1660" ht="15.75" customHeight="1">
      <c r="A1660" s="9">
        <v>23.0</v>
      </c>
      <c r="B1660" s="9" t="s">
        <v>235</v>
      </c>
      <c r="C1660" s="9" t="s">
        <v>236</v>
      </c>
      <c r="D1660" s="10" t="s">
        <v>11</v>
      </c>
      <c r="E1660" s="11" t="s">
        <v>82</v>
      </c>
      <c r="F1660" s="12">
        <v>11.67</v>
      </c>
      <c r="G1660" s="12">
        <f>F1660-'Estatística'!$D$6/'Estatística'!$D$10</f>
        <v>10.66698037</v>
      </c>
      <c r="H1660" s="13">
        <v>45235.0</v>
      </c>
      <c r="I1660" s="14" t="str">
        <f t="shared" si="1"/>
        <v>nov.</v>
      </c>
      <c r="O1660" s="8"/>
    </row>
    <row r="1661" ht="15.75" customHeight="1">
      <c r="A1661" s="19">
        <v>64.0</v>
      </c>
      <c r="B1661" s="19" t="s">
        <v>159</v>
      </c>
      <c r="C1661" s="19" t="s">
        <v>160</v>
      </c>
      <c r="D1661" s="20" t="s">
        <v>30</v>
      </c>
      <c r="E1661" s="21" t="s">
        <v>85</v>
      </c>
      <c r="F1661" s="22">
        <v>15.98</v>
      </c>
      <c r="G1661" s="22">
        <f>F1661-'Estatística'!$D$6/'Estatística'!$D$10</f>
        <v>14.97698037</v>
      </c>
      <c r="H1661" s="23">
        <v>45235.0</v>
      </c>
      <c r="I1661" s="24" t="str">
        <f t="shared" si="1"/>
        <v>nov.</v>
      </c>
      <c r="O1661" s="8"/>
    </row>
    <row r="1662" ht="15.75" customHeight="1">
      <c r="A1662" s="9">
        <v>58.0</v>
      </c>
      <c r="B1662" s="9" t="s">
        <v>165</v>
      </c>
      <c r="C1662" s="9" t="s">
        <v>166</v>
      </c>
      <c r="D1662" s="10" t="s">
        <v>30</v>
      </c>
      <c r="E1662" s="11" t="s">
        <v>88</v>
      </c>
      <c r="F1662" s="12">
        <v>32.6</v>
      </c>
      <c r="G1662" s="12">
        <f>F1662-'Estatística'!$D$6/'Estatística'!$D$10</f>
        <v>31.59698037</v>
      </c>
      <c r="H1662" s="13">
        <v>45236.0</v>
      </c>
      <c r="I1662" s="14" t="str">
        <f t="shared" si="1"/>
        <v>nov.</v>
      </c>
      <c r="O1662" s="8"/>
    </row>
    <row r="1663" ht="15.75" customHeight="1">
      <c r="A1663" s="19">
        <v>65.0</v>
      </c>
      <c r="B1663" s="19" t="s">
        <v>209</v>
      </c>
      <c r="C1663" s="19" t="s">
        <v>210</v>
      </c>
      <c r="D1663" s="20" t="s">
        <v>30</v>
      </c>
      <c r="E1663" s="21" t="s">
        <v>39</v>
      </c>
      <c r="F1663" s="22">
        <v>38.67</v>
      </c>
      <c r="G1663" s="22">
        <f>F1663-'Estatística'!$D$6/'Estatística'!$D$10</f>
        <v>37.66698037</v>
      </c>
      <c r="H1663" s="23">
        <v>45236.0</v>
      </c>
      <c r="I1663" s="24" t="str">
        <f t="shared" si="1"/>
        <v>nov.</v>
      </c>
      <c r="O1663" s="8"/>
    </row>
    <row r="1664" ht="15.75" customHeight="1">
      <c r="A1664" s="9">
        <v>20.0</v>
      </c>
      <c r="B1664" s="9" t="s">
        <v>161</v>
      </c>
      <c r="C1664" s="9" t="s">
        <v>162</v>
      </c>
      <c r="D1664" s="10" t="s">
        <v>11</v>
      </c>
      <c r="E1664" s="11" t="s">
        <v>43</v>
      </c>
      <c r="F1664" s="12">
        <v>18.31</v>
      </c>
      <c r="G1664" s="12">
        <f>F1664-'Estatística'!$D$6/'Estatística'!$D$10</f>
        <v>17.30698037</v>
      </c>
      <c r="H1664" s="13">
        <v>45236.0</v>
      </c>
      <c r="I1664" s="14" t="str">
        <f t="shared" si="1"/>
        <v>nov.</v>
      </c>
      <c r="O1664" s="8"/>
    </row>
    <row r="1665" ht="15.75" customHeight="1">
      <c r="A1665" s="19">
        <v>82.0</v>
      </c>
      <c r="B1665" s="19" t="s">
        <v>231</v>
      </c>
      <c r="C1665" s="19" t="s">
        <v>232</v>
      </c>
      <c r="D1665" s="20" t="s">
        <v>11</v>
      </c>
      <c r="E1665" s="21" t="s">
        <v>82</v>
      </c>
      <c r="F1665" s="22">
        <v>11.94</v>
      </c>
      <c r="G1665" s="22">
        <f>F1665-'Estatística'!$D$6/'Estatística'!$D$10</f>
        <v>10.93698037</v>
      </c>
      <c r="H1665" s="23">
        <v>45236.0</v>
      </c>
      <c r="I1665" s="24" t="str">
        <f t="shared" si="1"/>
        <v>nov.</v>
      </c>
      <c r="O1665" s="8"/>
    </row>
    <row r="1666" ht="15.75" customHeight="1">
      <c r="A1666" s="9">
        <v>50.0</v>
      </c>
      <c r="B1666" s="9" t="s">
        <v>33</v>
      </c>
      <c r="C1666" s="9" t="s">
        <v>34</v>
      </c>
      <c r="D1666" s="10" t="s">
        <v>11</v>
      </c>
      <c r="E1666" s="11" t="s">
        <v>76</v>
      </c>
      <c r="F1666" s="12">
        <v>10.73</v>
      </c>
      <c r="G1666" s="12">
        <f>F1666-'Estatística'!$D$6/'Estatística'!$D$10</f>
        <v>9.726980371</v>
      </c>
      <c r="H1666" s="13">
        <v>45237.0</v>
      </c>
      <c r="I1666" s="14" t="str">
        <f t="shared" si="1"/>
        <v>nov.</v>
      </c>
      <c r="O1666" s="8"/>
    </row>
    <row r="1667" ht="15.75" customHeight="1">
      <c r="A1667" s="19">
        <v>10.0</v>
      </c>
      <c r="B1667" s="19" t="s">
        <v>148</v>
      </c>
      <c r="C1667" s="19" t="s">
        <v>149</v>
      </c>
      <c r="D1667" s="20" t="s">
        <v>11</v>
      </c>
      <c r="E1667" s="21" t="s">
        <v>60</v>
      </c>
      <c r="F1667" s="22">
        <v>53.27</v>
      </c>
      <c r="G1667" s="22">
        <f>F1667-'Estatística'!$D$6/'Estatística'!$D$10</f>
        <v>52.26698037</v>
      </c>
      <c r="H1667" s="23">
        <v>45237.0</v>
      </c>
      <c r="I1667" s="24" t="str">
        <f t="shared" si="1"/>
        <v>nov.</v>
      </c>
      <c r="O1667" s="8"/>
    </row>
    <row r="1668" ht="15.75" customHeight="1">
      <c r="A1668" s="9">
        <v>83.0</v>
      </c>
      <c r="B1668" s="9" t="s">
        <v>98</v>
      </c>
      <c r="C1668" s="9" t="s">
        <v>99</v>
      </c>
      <c r="D1668" s="10" t="s">
        <v>11</v>
      </c>
      <c r="E1668" s="11" t="s">
        <v>60</v>
      </c>
      <c r="F1668" s="12">
        <v>56.0</v>
      </c>
      <c r="G1668" s="12">
        <f>F1668-'Estatística'!$D$6/'Estatística'!$D$10</f>
        <v>54.99698037</v>
      </c>
      <c r="H1668" s="13">
        <v>45237.0</v>
      </c>
      <c r="I1668" s="14" t="str">
        <f t="shared" si="1"/>
        <v>nov.</v>
      </c>
      <c r="O1668" s="8"/>
    </row>
    <row r="1669" ht="15.75" customHeight="1">
      <c r="A1669" s="19">
        <v>94.0</v>
      </c>
      <c r="B1669" s="19" t="s">
        <v>207</v>
      </c>
      <c r="C1669" s="19" t="s">
        <v>237</v>
      </c>
      <c r="D1669" s="20" t="s">
        <v>11</v>
      </c>
      <c r="E1669" s="21" t="s">
        <v>76</v>
      </c>
      <c r="F1669" s="22">
        <v>11.31</v>
      </c>
      <c r="G1669" s="22">
        <f>F1669-'Estatística'!$D$6/'Estatística'!$D$10</f>
        <v>10.30698037</v>
      </c>
      <c r="H1669" s="23">
        <v>45237.0</v>
      </c>
      <c r="I1669" s="24" t="str">
        <f t="shared" si="1"/>
        <v>nov.</v>
      </c>
      <c r="O1669" s="8"/>
    </row>
    <row r="1670" ht="15.75" customHeight="1">
      <c r="A1670" s="9">
        <v>55.0</v>
      </c>
      <c r="B1670" s="9" t="s">
        <v>202</v>
      </c>
      <c r="C1670" s="9" t="s">
        <v>203</v>
      </c>
      <c r="D1670" s="10" t="s">
        <v>11</v>
      </c>
      <c r="E1670" s="11" t="s">
        <v>46</v>
      </c>
      <c r="F1670" s="12">
        <v>13.87</v>
      </c>
      <c r="G1670" s="12">
        <f>F1670-'Estatística'!$D$6/'Estatística'!$D$10</f>
        <v>12.86698037</v>
      </c>
      <c r="H1670" s="13">
        <v>45237.0</v>
      </c>
      <c r="I1670" s="14" t="str">
        <f t="shared" si="1"/>
        <v>nov.</v>
      </c>
      <c r="O1670" s="8"/>
    </row>
    <row r="1671" ht="15.75" customHeight="1">
      <c r="A1671" s="19">
        <v>86.0</v>
      </c>
      <c r="B1671" s="19" t="s">
        <v>62</v>
      </c>
      <c r="C1671" s="19" t="s">
        <v>63</v>
      </c>
      <c r="D1671" s="20" t="s">
        <v>11</v>
      </c>
      <c r="E1671" s="21" t="s">
        <v>72</v>
      </c>
      <c r="F1671" s="22">
        <v>18.08</v>
      </c>
      <c r="G1671" s="22">
        <f>F1671-'Estatística'!$D$6/'Estatística'!$D$10</f>
        <v>17.07698037</v>
      </c>
      <c r="H1671" s="23">
        <v>45237.0</v>
      </c>
      <c r="I1671" s="24" t="str">
        <f t="shared" si="1"/>
        <v>nov.</v>
      </c>
      <c r="O1671" s="8"/>
    </row>
    <row r="1672" ht="15.75" customHeight="1">
      <c r="A1672" s="9">
        <v>91.0</v>
      </c>
      <c r="B1672" s="9" t="s">
        <v>112</v>
      </c>
      <c r="C1672" s="9" t="s">
        <v>113</v>
      </c>
      <c r="D1672" s="10" t="s">
        <v>30</v>
      </c>
      <c r="E1672" s="11" t="s">
        <v>82</v>
      </c>
      <c r="F1672" s="12">
        <v>10.47</v>
      </c>
      <c r="G1672" s="12">
        <f>F1672-'Estatística'!$D$6/'Estatística'!$D$10</f>
        <v>9.466980371</v>
      </c>
      <c r="H1672" s="13">
        <v>45238.0</v>
      </c>
      <c r="I1672" s="14" t="str">
        <f t="shared" si="1"/>
        <v>nov.</v>
      </c>
      <c r="O1672" s="8"/>
    </row>
    <row r="1673" ht="15.75" customHeight="1">
      <c r="A1673" s="19">
        <v>8.0</v>
      </c>
      <c r="B1673" s="19" t="s">
        <v>108</v>
      </c>
      <c r="C1673" s="19" t="s">
        <v>109</v>
      </c>
      <c r="D1673" s="20" t="s">
        <v>11</v>
      </c>
      <c r="E1673" s="21" t="s">
        <v>12</v>
      </c>
      <c r="F1673" s="22">
        <v>10.64</v>
      </c>
      <c r="G1673" s="22">
        <f>F1673-'Estatística'!$D$6/'Estatística'!$D$10</f>
        <v>9.636980371</v>
      </c>
      <c r="H1673" s="23">
        <v>45238.0</v>
      </c>
      <c r="I1673" s="24" t="str">
        <f t="shared" si="1"/>
        <v>nov.</v>
      </c>
      <c r="O1673" s="8"/>
    </row>
    <row r="1674" ht="15.75" customHeight="1">
      <c r="A1674" s="9">
        <v>60.0</v>
      </c>
      <c r="B1674" s="9" t="s">
        <v>65</v>
      </c>
      <c r="C1674" s="9" t="s">
        <v>66</v>
      </c>
      <c r="D1674" s="10" t="s">
        <v>30</v>
      </c>
      <c r="E1674" s="11" t="s">
        <v>46</v>
      </c>
      <c r="F1674" s="12">
        <v>13.63</v>
      </c>
      <c r="G1674" s="12">
        <f>F1674-'Estatística'!$D$6/'Estatística'!$D$10</f>
        <v>12.62698037</v>
      </c>
      <c r="H1674" s="13">
        <v>45238.0</v>
      </c>
      <c r="I1674" s="14" t="str">
        <f t="shared" si="1"/>
        <v>nov.</v>
      </c>
      <c r="O1674" s="8"/>
    </row>
    <row r="1675" ht="15.75" customHeight="1">
      <c r="A1675" s="19">
        <v>80.0</v>
      </c>
      <c r="B1675" s="19" t="s">
        <v>37</v>
      </c>
      <c r="C1675" s="19" t="s">
        <v>38</v>
      </c>
      <c r="D1675" s="20" t="s">
        <v>30</v>
      </c>
      <c r="E1675" s="21" t="s">
        <v>12</v>
      </c>
      <c r="F1675" s="22">
        <v>10.69</v>
      </c>
      <c r="G1675" s="22">
        <f>F1675-'Estatística'!$D$6/'Estatística'!$D$10</f>
        <v>9.686980371</v>
      </c>
      <c r="H1675" s="23">
        <v>45238.0</v>
      </c>
      <c r="I1675" s="24" t="str">
        <f t="shared" si="1"/>
        <v>nov.</v>
      </c>
      <c r="O1675" s="8"/>
    </row>
    <row r="1676" ht="15.75" customHeight="1">
      <c r="A1676" s="9">
        <v>20.0</v>
      </c>
      <c r="B1676" s="9" t="s">
        <v>161</v>
      </c>
      <c r="C1676" s="9" t="s">
        <v>162</v>
      </c>
      <c r="D1676" s="10" t="s">
        <v>11</v>
      </c>
      <c r="E1676" s="11" t="s">
        <v>60</v>
      </c>
      <c r="F1676" s="12">
        <v>57.38</v>
      </c>
      <c r="G1676" s="12">
        <f>F1676-'Estatística'!$D$6/'Estatística'!$D$10</f>
        <v>56.37698037</v>
      </c>
      <c r="H1676" s="13">
        <v>45238.0</v>
      </c>
      <c r="I1676" s="14" t="str">
        <f t="shared" si="1"/>
        <v>nov.</v>
      </c>
      <c r="O1676" s="8"/>
    </row>
    <row r="1677" ht="15.75" customHeight="1">
      <c r="A1677" s="19">
        <v>83.0</v>
      </c>
      <c r="B1677" s="19" t="s">
        <v>98</v>
      </c>
      <c r="C1677" s="19" t="s">
        <v>99</v>
      </c>
      <c r="D1677" s="20" t="s">
        <v>30</v>
      </c>
      <c r="E1677" s="21" t="s">
        <v>91</v>
      </c>
      <c r="F1677" s="22">
        <v>2.44</v>
      </c>
      <c r="G1677" s="22">
        <f>F1677-'Estatística'!$D$6/'Estatística'!$D$10</f>
        <v>1.436980371</v>
      </c>
      <c r="H1677" s="23">
        <v>45238.0</v>
      </c>
      <c r="I1677" s="24" t="str">
        <f t="shared" si="1"/>
        <v>nov.</v>
      </c>
      <c r="O1677" s="8"/>
    </row>
    <row r="1678" ht="15.75" customHeight="1">
      <c r="A1678" s="9">
        <v>56.0</v>
      </c>
      <c r="B1678" s="9" t="s">
        <v>127</v>
      </c>
      <c r="C1678" s="9" t="s">
        <v>128</v>
      </c>
      <c r="D1678" s="10" t="s">
        <v>30</v>
      </c>
      <c r="E1678" s="11" t="s">
        <v>72</v>
      </c>
      <c r="F1678" s="12">
        <v>14.44</v>
      </c>
      <c r="G1678" s="12">
        <f>F1678-'Estatística'!$D$6/'Estatística'!$D$10</f>
        <v>13.43698037</v>
      </c>
      <c r="H1678" s="13">
        <v>45238.0</v>
      </c>
      <c r="I1678" s="14" t="str">
        <f t="shared" si="1"/>
        <v>nov.</v>
      </c>
      <c r="O1678" s="8"/>
    </row>
    <row r="1679" ht="15.75" customHeight="1">
      <c r="A1679" s="19">
        <v>87.0</v>
      </c>
      <c r="B1679" s="19" t="s">
        <v>243</v>
      </c>
      <c r="C1679" s="19" t="s">
        <v>244</v>
      </c>
      <c r="D1679" s="20" t="s">
        <v>30</v>
      </c>
      <c r="E1679" s="21" t="s">
        <v>82</v>
      </c>
      <c r="F1679" s="22">
        <v>14.8</v>
      </c>
      <c r="G1679" s="22">
        <f>F1679-'Estatística'!$D$6/'Estatística'!$D$10</f>
        <v>13.79698037</v>
      </c>
      <c r="H1679" s="23">
        <v>45239.0</v>
      </c>
      <c r="I1679" s="24" t="str">
        <f t="shared" si="1"/>
        <v>nov.</v>
      </c>
      <c r="O1679" s="8"/>
    </row>
    <row r="1680" ht="15.75" customHeight="1">
      <c r="A1680" s="9">
        <v>5.0</v>
      </c>
      <c r="B1680" s="9" t="s">
        <v>167</v>
      </c>
      <c r="C1680" s="9" t="s">
        <v>168</v>
      </c>
      <c r="D1680" s="10" t="s">
        <v>30</v>
      </c>
      <c r="E1680" s="11" t="s">
        <v>76</v>
      </c>
      <c r="F1680" s="12">
        <v>10.84</v>
      </c>
      <c r="G1680" s="12">
        <f>F1680-'Estatística'!$D$6/'Estatística'!$D$10</f>
        <v>9.836980371</v>
      </c>
      <c r="H1680" s="13">
        <v>45239.0</v>
      </c>
      <c r="I1680" s="14" t="str">
        <f t="shared" si="1"/>
        <v>nov.</v>
      </c>
      <c r="O1680" s="8"/>
    </row>
    <row r="1681" ht="15.75" customHeight="1">
      <c r="A1681" s="19">
        <v>28.0</v>
      </c>
      <c r="B1681" s="19" t="s">
        <v>77</v>
      </c>
      <c r="C1681" s="19" t="s">
        <v>78</v>
      </c>
      <c r="D1681" s="20" t="s">
        <v>30</v>
      </c>
      <c r="E1681" s="21" t="s">
        <v>46</v>
      </c>
      <c r="F1681" s="22">
        <v>14.66</v>
      </c>
      <c r="G1681" s="22">
        <f>F1681-'Estatística'!$D$6/'Estatística'!$D$10</f>
        <v>13.65698037</v>
      </c>
      <c r="H1681" s="23">
        <v>45239.0</v>
      </c>
      <c r="I1681" s="24" t="str">
        <f t="shared" si="1"/>
        <v>nov.</v>
      </c>
      <c r="O1681" s="8"/>
    </row>
    <row r="1682" ht="15.75" customHeight="1">
      <c r="A1682" s="9">
        <v>11.0</v>
      </c>
      <c r="B1682" s="9" t="s">
        <v>227</v>
      </c>
      <c r="C1682" s="9" t="s">
        <v>228</v>
      </c>
      <c r="D1682" s="10" t="s">
        <v>30</v>
      </c>
      <c r="E1682" s="11" t="s">
        <v>35</v>
      </c>
      <c r="F1682" s="12">
        <v>12.5</v>
      </c>
      <c r="G1682" s="12">
        <f>F1682-'Estatística'!$D$6/'Estatística'!$D$10</f>
        <v>11.49698037</v>
      </c>
      <c r="H1682" s="13">
        <v>45239.0</v>
      </c>
      <c r="I1682" s="14" t="str">
        <f t="shared" si="1"/>
        <v>nov.</v>
      </c>
      <c r="O1682" s="8"/>
    </row>
    <row r="1683" ht="15.75" customHeight="1">
      <c r="A1683" s="19">
        <v>48.0</v>
      </c>
      <c r="B1683" s="19" t="s">
        <v>41</v>
      </c>
      <c r="C1683" s="19" t="s">
        <v>45</v>
      </c>
      <c r="D1683" s="20" t="s">
        <v>30</v>
      </c>
      <c r="E1683" s="21" t="s">
        <v>39</v>
      </c>
      <c r="F1683" s="22">
        <v>28.67</v>
      </c>
      <c r="G1683" s="22">
        <f>F1683-'Estatística'!$D$6/'Estatística'!$D$10</f>
        <v>27.66698037</v>
      </c>
      <c r="H1683" s="23">
        <v>45240.0</v>
      </c>
      <c r="I1683" s="24" t="str">
        <f t="shared" si="1"/>
        <v>nov.</v>
      </c>
      <c r="O1683" s="8"/>
    </row>
    <row r="1684" ht="15.75" customHeight="1">
      <c r="A1684" s="9">
        <v>47.0</v>
      </c>
      <c r="B1684" s="9" t="s">
        <v>120</v>
      </c>
      <c r="C1684" s="9" t="s">
        <v>121</v>
      </c>
      <c r="D1684" s="10" t="s">
        <v>30</v>
      </c>
      <c r="E1684" s="11" t="s">
        <v>97</v>
      </c>
      <c r="F1684" s="12">
        <v>3.92</v>
      </c>
      <c r="G1684" s="12">
        <f>F1684-'Estatística'!$D$6/'Estatística'!$D$10</f>
        <v>2.916980371</v>
      </c>
      <c r="H1684" s="13">
        <v>45240.0</v>
      </c>
      <c r="I1684" s="14" t="str">
        <f t="shared" si="1"/>
        <v>nov.</v>
      </c>
      <c r="O1684" s="8"/>
    </row>
    <row r="1685" ht="15.75" customHeight="1">
      <c r="A1685" s="19">
        <v>29.0</v>
      </c>
      <c r="B1685" s="19" t="s">
        <v>122</v>
      </c>
      <c r="C1685" s="19" t="s">
        <v>123</v>
      </c>
      <c r="D1685" s="20" t="s">
        <v>30</v>
      </c>
      <c r="E1685" s="21" t="s">
        <v>39</v>
      </c>
      <c r="F1685" s="22">
        <v>35.08</v>
      </c>
      <c r="G1685" s="22">
        <f>F1685-'Estatística'!$D$6/'Estatística'!$D$10</f>
        <v>34.07698037</v>
      </c>
      <c r="H1685" s="23">
        <v>45240.0</v>
      </c>
      <c r="I1685" s="24" t="str">
        <f t="shared" si="1"/>
        <v>nov.</v>
      </c>
      <c r="O1685" s="8"/>
    </row>
    <row r="1686" ht="15.75" customHeight="1">
      <c r="A1686" s="9">
        <v>30.0</v>
      </c>
      <c r="B1686" s="9" t="s">
        <v>9</v>
      </c>
      <c r="C1686" s="9" t="s">
        <v>10</v>
      </c>
      <c r="D1686" s="10" t="s">
        <v>11</v>
      </c>
      <c r="E1686" s="11" t="s">
        <v>94</v>
      </c>
      <c r="F1686" s="12">
        <v>27.07</v>
      </c>
      <c r="G1686" s="12">
        <f>F1686-'Estatística'!$D$6/'Estatística'!$D$10</f>
        <v>26.06698037</v>
      </c>
      <c r="H1686" s="13">
        <v>45240.0</v>
      </c>
      <c r="I1686" s="14" t="str">
        <f t="shared" si="1"/>
        <v>nov.</v>
      </c>
      <c r="O1686" s="8"/>
    </row>
    <row r="1687" ht="15.75" customHeight="1">
      <c r="A1687" s="19">
        <v>55.0</v>
      </c>
      <c r="B1687" s="19" t="s">
        <v>202</v>
      </c>
      <c r="C1687" s="19" t="s">
        <v>203</v>
      </c>
      <c r="D1687" s="20" t="s">
        <v>30</v>
      </c>
      <c r="E1687" s="21" t="s">
        <v>68</v>
      </c>
      <c r="F1687" s="22">
        <v>13.25</v>
      </c>
      <c r="G1687" s="22">
        <f>F1687-'Estatística'!$D$6/'Estatística'!$D$10</f>
        <v>12.24698037</v>
      </c>
      <c r="H1687" s="23">
        <v>45240.0</v>
      </c>
      <c r="I1687" s="24" t="str">
        <f t="shared" si="1"/>
        <v>nov.</v>
      </c>
      <c r="O1687" s="8"/>
    </row>
    <row r="1688" ht="15.75" customHeight="1">
      <c r="A1688" s="9">
        <v>80.0</v>
      </c>
      <c r="B1688" s="9" t="s">
        <v>37</v>
      </c>
      <c r="C1688" s="9" t="s">
        <v>38</v>
      </c>
      <c r="D1688" s="10" t="s">
        <v>30</v>
      </c>
      <c r="E1688" s="11" t="s">
        <v>97</v>
      </c>
      <c r="F1688" s="12">
        <v>2.99</v>
      </c>
      <c r="G1688" s="12">
        <f>F1688-'Estatística'!$D$6/'Estatística'!$D$10</f>
        <v>1.986980371</v>
      </c>
      <c r="H1688" s="13">
        <v>45240.0</v>
      </c>
      <c r="I1688" s="14" t="str">
        <f t="shared" si="1"/>
        <v>nov.</v>
      </c>
      <c r="O1688" s="8"/>
    </row>
    <row r="1689" ht="15.75" customHeight="1">
      <c r="A1689" s="19">
        <v>80.0</v>
      </c>
      <c r="B1689" s="19" t="s">
        <v>37</v>
      </c>
      <c r="C1689" s="19" t="s">
        <v>38</v>
      </c>
      <c r="D1689" s="20" t="s">
        <v>11</v>
      </c>
      <c r="E1689" s="21" t="s">
        <v>31</v>
      </c>
      <c r="F1689" s="22">
        <v>39.24</v>
      </c>
      <c r="G1689" s="22">
        <f>F1689-'Estatística'!$D$6/'Estatística'!$D$10</f>
        <v>38.23698037</v>
      </c>
      <c r="H1689" s="23">
        <v>45240.0</v>
      </c>
      <c r="I1689" s="24" t="str">
        <f t="shared" si="1"/>
        <v>nov.</v>
      </c>
      <c r="O1689" s="8"/>
    </row>
    <row r="1690" ht="15.75" customHeight="1">
      <c r="A1690" s="9">
        <v>77.0</v>
      </c>
      <c r="B1690" s="9" t="s">
        <v>9</v>
      </c>
      <c r="C1690" s="9" t="s">
        <v>169</v>
      </c>
      <c r="D1690" s="10" t="s">
        <v>11</v>
      </c>
      <c r="E1690" s="11" t="s">
        <v>31</v>
      </c>
      <c r="F1690" s="12">
        <v>56.13</v>
      </c>
      <c r="G1690" s="12">
        <f>F1690-'Estatística'!$D$6/'Estatística'!$D$10</f>
        <v>55.12698037</v>
      </c>
      <c r="H1690" s="13">
        <v>45241.0</v>
      </c>
      <c r="I1690" s="14" t="str">
        <f t="shared" si="1"/>
        <v>nov.</v>
      </c>
      <c r="O1690" s="8"/>
    </row>
    <row r="1691" ht="15.75" customHeight="1">
      <c r="A1691" s="19">
        <v>30.0</v>
      </c>
      <c r="B1691" s="19" t="s">
        <v>9</v>
      </c>
      <c r="C1691" s="19" t="s">
        <v>10</v>
      </c>
      <c r="D1691" s="20" t="s">
        <v>11</v>
      </c>
      <c r="E1691" s="21" t="s">
        <v>46</v>
      </c>
      <c r="F1691" s="22">
        <v>14.93</v>
      </c>
      <c r="G1691" s="22">
        <f>F1691-'Estatística'!$D$6/'Estatística'!$D$10</f>
        <v>13.92698037</v>
      </c>
      <c r="H1691" s="23">
        <v>45241.0</v>
      </c>
      <c r="I1691" s="24" t="str">
        <f t="shared" si="1"/>
        <v>nov.</v>
      </c>
      <c r="O1691" s="8"/>
    </row>
    <row r="1692" ht="15.75" customHeight="1">
      <c r="A1692" s="9">
        <v>5.0</v>
      </c>
      <c r="B1692" s="9" t="s">
        <v>167</v>
      </c>
      <c r="C1692" s="9" t="s">
        <v>168</v>
      </c>
      <c r="D1692" s="10" t="s">
        <v>30</v>
      </c>
      <c r="E1692" s="11" t="s">
        <v>43</v>
      </c>
      <c r="F1692" s="12">
        <v>16.06</v>
      </c>
      <c r="G1692" s="12">
        <f>F1692-'Estatística'!$D$6/'Estatística'!$D$10</f>
        <v>15.05698037</v>
      </c>
      <c r="H1692" s="13">
        <v>45241.0</v>
      </c>
      <c r="I1692" s="14" t="str">
        <f t="shared" si="1"/>
        <v>nov.</v>
      </c>
      <c r="O1692" s="8"/>
    </row>
    <row r="1693" ht="15.75" customHeight="1">
      <c r="A1693" s="19">
        <v>41.0</v>
      </c>
      <c r="B1693" s="19" t="s">
        <v>217</v>
      </c>
      <c r="C1693" s="19" t="s">
        <v>218</v>
      </c>
      <c r="D1693" s="20" t="s">
        <v>11</v>
      </c>
      <c r="E1693" s="21" t="s">
        <v>94</v>
      </c>
      <c r="F1693" s="22">
        <v>31.4</v>
      </c>
      <c r="G1693" s="22">
        <f>F1693-'Estatística'!$D$6/'Estatística'!$D$10</f>
        <v>30.39698037</v>
      </c>
      <c r="H1693" s="23">
        <v>45241.0</v>
      </c>
      <c r="I1693" s="24" t="str">
        <f t="shared" si="1"/>
        <v>nov.</v>
      </c>
      <c r="O1693" s="8"/>
    </row>
    <row r="1694" ht="15.75" customHeight="1">
      <c r="A1694" s="9">
        <v>17.0</v>
      </c>
      <c r="B1694" s="9" t="s">
        <v>200</v>
      </c>
      <c r="C1694" s="9" t="s">
        <v>201</v>
      </c>
      <c r="D1694" s="10" t="s">
        <v>30</v>
      </c>
      <c r="E1694" s="11" t="s">
        <v>85</v>
      </c>
      <c r="F1694" s="12">
        <v>17.02</v>
      </c>
      <c r="G1694" s="12">
        <f>F1694-'Estatística'!$D$6/'Estatística'!$D$10</f>
        <v>16.01698037</v>
      </c>
      <c r="H1694" s="13">
        <v>45241.0</v>
      </c>
      <c r="I1694" s="14" t="str">
        <f t="shared" si="1"/>
        <v>nov.</v>
      </c>
      <c r="O1694" s="8"/>
    </row>
    <row r="1695" ht="15.75" customHeight="1">
      <c r="A1695" s="19">
        <v>19.0</v>
      </c>
      <c r="B1695" s="19" t="s">
        <v>41</v>
      </c>
      <c r="C1695" s="19" t="s">
        <v>193</v>
      </c>
      <c r="D1695" s="20" t="s">
        <v>11</v>
      </c>
      <c r="E1695" s="21" t="s">
        <v>60</v>
      </c>
      <c r="F1695" s="22">
        <v>44.01</v>
      </c>
      <c r="G1695" s="22">
        <f>F1695-'Estatística'!$D$6/'Estatística'!$D$10</f>
        <v>43.00698037</v>
      </c>
      <c r="H1695" s="23">
        <v>45242.0</v>
      </c>
      <c r="I1695" s="24" t="str">
        <f t="shared" si="1"/>
        <v>nov.</v>
      </c>
      <c r="O1695" s="8"/>
    </row>
    <row r="1696" ht="15.75" customHeight="1">
      <c r="A1696" s="9">
        <v>20.0</v>
      </c>
      <c r="B1696" s="9" t="s">
        <v>161</v>
      </c>
      <c r="C1696" s="9" t="s">
        <v>162</v>
      </c>
      <c r="D1696" s="10" t="s">
        <v>30</v>
      </c>
      <c r="E1696" s="11" t="s">
        <v>76</v>
      </c>
      <c r="F1696" s="12">
        <v>11.75</v>
      </c>
      <c r="G1696" s="12">
        <f>F1696-'Estatística'!$D$6/'Estatística'!$D$10</f>
        <v>10.74698037</v>
      </c>
      <c r="H1696" s="13">
        <v>45242.0</v>
      </c>
      <c r="I1696" s="14" t="str">
        <f t="shared" si="1"/>
        <v>nov.</v>
      </c>
      <c r="O1696" s="8"/>
    </row>
    <row r="1697" ht="15.75" customHeight="1">
      <c r="A1697" s="19">
        <v>54.0</v>
      </c>
      <c r="B1697" s="19" t="s">
        <v>86</v>
      </c>
      <c r="C1697" s="19" t="s">
        <v>87</v>
      </c>
      <c r="D1697" s="20" t="s">
        <v>30</v>
      </c>
      <c r="E1697" s="21" t="s">
        <v>88</v>
      </c>
      <c r="F1697" s="22">
        <v>32.47</v>
      </c>
      <c r="G1697" s="22">
        <f>F1697-'Estatística'!$D$6/'Estatística'!$D$10</f>
        <v>31.46698037</v>
      </c>
      <c r="H1697" s="23">
        <v>45242.0</v>
      </c>
      <c r="I1697" s="24" t="str">
        <f t="shared" si="1"/>
        <v>nov.</v>
      </c>
      <c r="O1697" s="8"/>
    </row>
    <row r="1698" ht="15.75" customHeight="1">
      <c r="A1698" s="9">
        <v>14.0</v>
      </c>
      <c r="B1698" s="9" t="s">
        <v>171</v>
      </c>
      <c r="C1698" s="9" t="s">
        <v>172</v>
      </c>
      <c r="D1698" s="10" t="s">
        <v>11</v>
      </c>
      <c r="E1698" s="11" t="s">
        <v>46</v>
      </c>
      <c r="F1698" s="12">
        <v>14.22</v>
      </c>
      <c r="G1698" s="12">
        <f>F1698-'Estatística'!$D$6/'Estatística'!$D$10</f>
        <v>13.21698037</v>
      </c>
      <c r="H1698" s="13">
        <v>45242.0</v>
      </c>
      <c r="I1698" s="14" t="str">
        <f t="shared" si="1"/>
        <v>nov.</v>
      </c>
      <c r="O1698" s="8"/>
    </row>
    <row r="1699" ht="15.75" customHeight="1">
      <c r="A1699" s="19">
        <v>12.0</v>
      </c>
      <c r="B1699" s="19" t="s">
        <v>188</v>
      </c>
      <c r="C1699" s="19" t="s">
        <v>189</v>
      </c>
      <c r="D1699" s="20" t="s">
        <v>11</v>
      </c>
      <c r="E1699" s="21" t="s">
        <v>72</v>
      </c>
      <c r="F1699" s="22">
        <v>25.05</v>
      </c>
      <c r="G1699" s="22">
        <f>F1699-'Estatística'!$D$6/'Estatística'!$D$10</f>
        <v>24.04698037</v>
      </c>
      <c r="H1699" s="23">
        <v>45242.0</v>
      </c>
      <c r="I1699" s="24" t="str">
        <f t="shared" si="1"/>
        <v>nov.</v>
      </c>
      <c r="O1699" s="8"/>
    </row>
    <row r="1700" ht="15.75" customHeight="1">
      <c r="A1700" s="9">
        <v>60.0</v>
      </c>
      <c r="B1700" s="9" t="s">
        <v>65</v>
      </c>
      <c r="C1700" s="9" t="s">
        <v>66</v>
      </c>
      <c r="D1700" s="10" t="s">
        <v>11</v>
      </c>
      <c r="E1700" s="11" t="s">
        <v>88</v>
      </c>
      <c r="F1700" s="12">
        <v>33.48</v>
      </c>
      <c r="G1700" s="12">
        <f>F1700-'Estatística'!$D$6/'Estatística'!$D$10</f>
        <v>32.47698037</v>
      </c>
      <c r="H1700" s="13">
        <v>45243.0</v>
      </c>
      <c r="I1700" s="14" t="str">
        <f t="shared" si="1"/>
        <v>nov.</v>
      </c>
      <c r="O1700" s="8"/>
    </row>
    <row r="1701" ht="15.75" customHeight="1">
      <c r="A1701" s="19">
        <v>61.0</v>
      </c>
      <c r="B1701" s="19" t="s">
        <v>106</v>
      </c>
      <c r="C1701" s="19" t="s">
        <v>107</v>
      </c>
      <c r="D1701" s="20" t="s">
        <v>11</v>
      </c>
      <c r="E1701" s="21" t="s">
        <v>35</v>
      </c>
      <c r="F1701" s="22">
        <v>19.29</v>
      </c>
      <c r="G1701" s="22">
        <f>F1701-'Estatística'!$D$6/'Estatística'!$D$10</f>
        <v>18.28698037</v>
      </c>
      <c r="H1701" s="23">
        <v>45243.0</v>
      </c>
      <c r="I1701" s="24" t="str">
        <f t="shared" si="1"/>
        <v>nov.</v>
      </c>
      <c r="O1701" s="8"/>
    </row>
    <row r="1702" ht="15.75" customHeight="1">
      <c r="A1702" s="9">
        <v>48.0</v>
      </c>
      <c r="B1702" s="9" t="s">
        <v>41</v>
      </c>
      <c r="C1702" s="9" t="s">
        <v>45</v>
      </c>
      <c r="D1702" s="10" t="s">
        <v>11</v>
      </c>
      <c r="E1702" s="11" t="s">
        <v>60</v>
      </c>
      <c r="F1702" s="12">
        <v>43.59</v>
      </c>
      <c r="G1702" s="12">
        <f>F1702-'Estatística'!$D$6/'Estatística'!$D$10</f>
        <v>42.58698037</v>
      </c>
      <c r="H1702" s="13">
        <v>45243.0</v>
      </c>
      <c r="I1702" s="14" t="str">
        <f t="shared" si="1"/>
        <v>nov.</v>
      </c>
      <c r="O1702" s="8"/>
    </row>
    <row r="1703" ht="15.75" customHeight="1">
      <c r="A1703" s="19">
        <v>88.0</v>
      </c>
      <c r="B1703" s="19" t="s">
        <v>200</v>
      </c>
      <c r="C1703" s="19" t="s">
        <v>206</v>
      </c>
      <c r="D1703" s="20" t="s">
        <v>30</v>
      </c>
      <c r="E1703" s="21" t="s">
        <v>79</v>
      </c>
      <c r="F1703" s="22">
        <v>37.74</v>
      </c>
      <c r="G1703" s="22">
        <f>F1703-'Estatística'!$D$6/'Estatística'!$D$10</f>
        <v>36.73698037</v>
      </c>
      <c r="H1703" s="23">
        <v>45243.0</v>
      </c>
      <c r="I1703" s="24" t="str">
        <f t="shared" si="1"/>
        <v>nov.</v>
      </c>
      <c r="O1703" s="8"/>
    </row>
    <row r="1704" ht="15.75" customHeight="1">
      <c r="A1704" s="9">
        <v>34.0</v>
      </c>
      <c r="B1704" s="9" t="s">
        <v>177</v>
      </c>
      <c r="C1704" s="9" t="s">
        <v>178</v>
      </c>
      <c r="D1704" s="10" t="s">
        <v>30</v>
      </c>
      <c r="E1704" s="11" t="s">
        <v>60</v>
      </c>
      <c r="F1704" s="12">
        <v>34.01</v>
      </c>
      <c r="G1704" s="12">
        <f>F1704-'Estatística'!$D$6/'Estatística'!$D$10</f>
        <v>33.00698037</v>
      </c>
      <c r="H1704" s="13">
        <v>45243.0</v>
      </c>
      <c r="I1704" s="14" t="str">
        <f t="shared" si="1"/>
        <v>nov.</v>
      </c>
      <c r="O1704" s="8"/>
    </row>
    <row r="1705" ht="15.75" customHeight="1">
      <c r="A1705" s="19">
        <v>8.0</v>
      </c>
      <c r="B1705" s="19" t="s">
        <v>108</v>
      </c>
      <c r="C1705" s="19" t="s">
        <v>109</v>
      </c>
      <c r="D1705" s="20" t="s">
        <v>11</v>
      </c>
      <c r="E1705" s="21" t="s">
        <v>82</v>
      </c>
      <c r="F1705" s="22">
        <v>11.78</v>
      </c>
      <c r="G1705" s="22">
        <f>F1705-'Estatística'!$D$6/'Estatística'!$D$10</f>
        <v>10.77698037</v>
      </c>
      <c r="H1705" s="23">
        <v>45244.0</v>
      </c>
      <c r="I1705" s="24" t="str">
        <f t="shared" si="1"/>
        <v>nov.</v>
      </c>
      <c r="O1705" s="8"/>
    </row>
    <row r="1706" ht="15.75" customHeight="1">
      <c r="A1706" s="9">
        <v>19.0</v>
      </c>
      <c r="B1706" s="9" t="s">
        <v>41</v>
      </c>
      <c r="C1706" s="9" t="s">
        <v>193</v>
      </c>
      <c r="D1706" s="10" t="s">
        <v>11</v>
      </c>
      <c r="E1706" s="11" t="s">
        <v>94</v>
      </c>
      <c r="F1706" s="12">
        <v>31.54</v>
      </c>
      <c r="G1706" s="12">
        <f>F1706-'Estatística'!$D$6/'Estatística'!$D$10</f>
        <v>30.53698037</v>
      </c>
      <c r="H1706" s="13">
        <v>45244.0</v>
      </c>
      <c r="I1706" s="14" t="str">
        <f t="shared" si="1"/>
        <v>nov.</v>
      </c>
      <c r="O1706" s="8"/>
    </row>
    <row r="1707" ht="15.75" customHeight="1">
      <c r="A1707" s="19">
        <v>100.0</v>
      </c>
      <c r="B1707" s="19" t="s">
        <v>48</v>
      </c>
      <c r="C1707" s="19" t="s">
        <v>49</v>
      </c>
      <c r="D1707" s="20" t="s">
        <v>11</v>
      </c>
      <c r="E1707" s="21" t="s">
        <v>46</v>
      </c>
      <c r="F1707" s="22">
        <v>14.15</v>
      </c>
      <c r="G1707" s="22">
        <f>F1707-'Estatística'!$D$6/'Estatística'!$D$10</f>
        <v>13.14698037</v>
      </c>
      <c r="H1707" s="23">
        <v>45244.0</v>
      </c>
      <c r="I1707" s="24" t="str">
        <f t="shared" si="1"/>
        <v>nov.</v>
      </c>
      <c r="O1707" s="8"/>
    </row>
    <row r="1708" ht="15.75" customHeight="1">
      <c r="A1708" s="9">
        <v>11.0</v>
      </c>
      <c r="B1708" s="9" t="s">
        <v>227</v>
      </c>
      <c r="C1708" s="9" t="s">
        <v>228</v>
      </c>
      <c r="D1708" s="10" t="s">
        <v>11</v>
      </c>
      <c r="E1708" s="11" t="s">
        <v>72</v>
      </c>
      <c r="F1708" s="12">
        <v>15.48</v>
      </c>
      <c r="G1708" s="12">
        <f>F1708-'Estatística'!$D$6/'Estatística'!$D$10</f>
        <v>14.47698037</v>
      </c>
      <c r="H1708" s="13">
        <v>45245.0</v>
      </c>
      <c r="I1708" s="14" t="str">
        <f t="shared" si="1"/>
        <v>nov.</v>
      </c>
      <c r="O1708" s="8"/>
    </row>
    <row r="1709" ht="15.75" customHeight="1">
      <c r="A1709" s="19">
        <v>38.0</v>
      </c>
      <c r="B1709" s="19" t="s">
        <v>116</v>
      </c>
      <c r="C1709" s="19" t="s">
        <v>117</v>
      </c>
      <c r="D1709" s="20" t="s">
        <v>30</v>
      </c>
      <c r="E1709" s="21" t="s">
        <v>43</v>
      </c>
      <c r="F1709" s="22">
        <v>16.89</v>
      </c>
      <c r="G1709" s="22">
        <f>F1709-'Estatística'!$D$6/'Estatística'!$D$10</f>
        <v>15.88698037</v>
      </c>
      <c r="H1709" s="23">
        <v>45245.0</v>
      </c>
      <c r="I1709" s="24" t="str">
        <f t="shared" si="1"/>
        <v>nov.</v>
      </c>
      <c r="O1709" s="8"/>
    </row>
    <row r="1710" ht="15.75" customHeight="1">
      <c r="A1710" s="9">
        <v>4.0</v>
      </c>
      <c r="B1710" s="9" t="s">
        <v>118</v>
      </c>
      <c r="C1710" s="9" t="s">
        <v>119</v>
      </c>
      <c r="D1710" s="10" t="s">
        <v>30</v>
      </c>
      <c r="E1710" s="11" t="s">
        <v>85</v>
      </c>
      <c r="F1710" s="12">
        <v>16.36</v>
      </c>
      <c r="G1710" s="12">
        <f>F1710-'Estatística'!$D$6/'Estatística'!$D$10</f>
        <v>15.35698037</v>
      </c>
      <c r="H1710" s="13">
        <v>45245.0</v>
      </c>
      <c r="I1710" s="14" t="str">
        <f t="shared" si="1"/>
        <v>nov.</v>
      </c>
      <c r="O1710" s="8"/>
    </row>
    <row r="1711" ht="15.75" customHeight="1">
      <c r="A1711" s="19">
        <v>1.0</v>
      </c>
      <c r="B1711" s="19" t="s">
        <v>194</v>
      </c>
      <c r="C1711" s="19" t="s">
        <v>195</v>
      </c>
      <c r="D1711" s="20" t="s">
        <v>30</v>
      </c>
      <c r="E1711" s="21" t="s">
        <v>43</v>
      </c>
      <c r="F1711" s="22">
        <v>13.36</v>
      </c>
      <c r="G1711" s="22">
        <f>F1711-'Estatística'!$D$6/'Estatística'!$D$10</f>
        <v>12.35698037</v>
      </c>
      <c r="H1711" s="23">
        <v>45245.0</v>
      </c>
      <c r="I1711" s="24" t="str">
        <f t="shared" si="1"/>
        <v>nov.</v>
      </c>
      <c r="O1711" s="8"/>
    </row>
    <row r="1712" ht="15.75" customHeight="1">
      <c r="A1712" s="9">
        <v>20.0</v>
      </c>
      <c r="B1712" s="9" t="s">
        <v>161</v>
      </c>
      <c r="C1712" s="9" t="s">
        <v>162</v>
      </c>
      <c r="D1712" s="10" t="s">
        <v>30</v>
      </c>
      <c r="E1712" s="11" t="s">
        <v>88</v>
      </c>
      <c r="F1712" s="12">
        <v>38.8</v>
      </c>
      <c r="G1712" s="12">
        <f>F1712-'Estatística'!$D$6/'Estatística'!$D$10</f>
        <v>37.79698037</v>
      </c>
      <c r="H1712" s="13">
        <v>45245.0</v>
      </c>
      <c r="I1712" s="14" t="str">
        <f t="shared" si="1"/>
        <v>nov.</v>
      </c>
      <c r="O1712" s="8"/>
    </row>
    <row r="1713" ht="15.75" customHeight="1">
      <c r="A1713" s="19">
        <v>83.0</v>
      </c>
      <c r="B1713" s="19" t="s">
        <v>98</v>
      </c>
      <c r="C1713" s="19" t="s">
        <v>99</v>
      </c>
      <c r="D1713" s="20" t="s">
        <v>30</v>
      </c>
      <c r="E1713" s="21" t="s">
        <v>46</v>
      </c>
      <c r="F1713" s="22">
        <v>14.2</v>
      </c>
      <c r="G1713" s="22">
        <f>F1713-'Estatística'!$D$6/'Estatística'!$D$10</f>
        <v>13.19698037</v>
      </c>
      <c r="H1713" s="23">
        <v>45245.0</v>
      </c>
      <c r="I1713" s="24" t="str">
        <f t="shared" si="1"/>
        <v>nov.</v>
      </c>
      <c r="O1713" s="8"/>
    </row>
    <row r="1714" ht="15.75" customHeight="1">
      <c r="A1714" s="9">
        <v>90.0</v>
      </c>
      <c r="B1714" s="9" t="s">
        <v>219</v>
      </c>
      <c r="C1714" s="9" t="s">
        <v>220</v>
      </c>
      <c r="D1714" s="10" t="s">
        <v>30</v>
      </c>
      <c r="E1714" s="11" t="s">
        <v>72</v>
      </c>
      <c r="F1714" s="12">
        <v>16.81</v>
      </c>
      <c r="G1714" s="12">
        <f>F1714-'Estatística'!$D$6/'Estatística'!$D$10</f>
        <v>15.80698037</v>
      </c>
      <c r="H1714" s="13">
        <v>45245.0</v>
      </c>
      <c r="I1714" s="14" t="str">
        <f t="shared" si="1"/>
        <v>nov.</v>
      </c>
      <c r="O1714" s="8"/>
    </row>
    <row r="1715" ht="15.75" customHeight="1">
      <c r="A1715" s="19">
        <v>66.0</v>
      </c>
      <c r="B1715" s="19" t="s">
        <v>150</v>
      </c>
      <c r="C1715" s="19" t="s">
        <v>158</v>
      </c>
      <c r="D1715" s="20" t="s">
        <v>30</v>
      </c>
      <c r="E1715" s="21" t="s">
        <v>31</v>
      </c>
      <c r="F1715" s="22">
        <v>55.74</v>
      </c>
      <c r="G1715" s="22">
        <f>F1715-'Estatística'!$D$6/'Estatística'!$D$10</f>
        <v>54.73698037</v>
      </c>
      <c r="H1715" s="23">
        <v>45245.0</v>
      </c>
      <c r="I1715" s="24" t="str">
        <f t="shared" si="1"/>
        <v>nov.</v>
      </c>
      <c r="O1715" s="8"/>
    </row>
    <row r="1716" ht="15.75" customHeight="1">
      <c r="A1716" s="9">
        <v>35.0</v>
      </c>
      <c r="B1716" s="9" t="s">
        <v>125</v>
      </c>
      <c r="C1716" s="9" t="s">
        <v>126</v>
      </c>
      <c r="D1716" s="10" t="s">
        <v>30</v>
      </c>
      <c r="E1716" s="11" t="s">
        <v>52</v>
      </c>
      <c r="F1716" s="12">
        <v>68.65</v>
      </c>
      <c r="G1716" s="12">
        <f>F1716-'Estatística'!$D$6/'Estatística'!$D$10</f>
        <v>67.64698037</v>
      </c>
      <c r="H1716" s="13">
        <v>45245.0</v>
      </c>
      <c r="I1716" s="14" t="str">
        <f t="shared" si="1"/>
        <v>nov.</v>
      </c>
      <c r="O1716" s="8"/>
    </row>
    <row r="1717" ht="15.75" customHeight="1">
      <c r="A1717" s="19">
        <v>75.0</v>
      </c>
      <c r="B1717" s="19" t="s">
        <v>238</v>
      </c>
      <c r="C1717" s="19" t="s">
        <v>239</v>
      </c>
      <c r="D1717" s="20" t="s">
        <v>30</v>
      </c>
      <c r="E1717" s="21" t="s">
        <v>88</v>
      </c>
      <c r="F1717" s="22">
        <v>39.1</v>
      </c>
      <c r="G1717" s="22">
        <f>F1717-'Estatística'!$D$6/'Estatística'!$D$10</f>
        <v>38.09698037</v>
      </c>
      <c r="H1717" s="23">
        <v>45245.0</v>
      </c>
      <c r="I1717" s="24" t="str">
        <f t="shared" si="1"/>
        <v>nov.</v>
      </c>
      <c r="O1717" s="8"/>
    </row>
    <row r="1718" ht="15.75" customHeight="1">
      <c r="A1718" s="9">
        <v>26.0</v>
      </c>
      <c r="B1718" s="9" t="s">
        <v>211</v>
      </c>
      <c r="C1718" s="9" t="s">
        <v>212</v>
      </c>
      <c r="D1718" s="10" t="s">
        <v>11</v>
      </c>
      <c r="E1718" s="11" t="s">
        <v>46</v>
      </c>
      <c r="F1718" s="12">
        <v>12.37</v>
      </c>
      <c r="G1718" s="12">
        <f>F1718-'Estatística'!$D$6/'Estatística'!$D$10</f>
        <v>11.36698037</v>
      </c>
      <c r="H1718" s="13">
        <v>45246.0</v>
      </c>
      <c r="I1718" s="14" t="str">
        <f t="shared" si="1"/>
        <v>nov.</v>
      </c>
      <c r="O1718" s="8"/>
    </row>
    <row r="1719" ht="15.75" customHeight="1">
      <c r="A1719" s="19">
        <v>29.0</v>
      </c>
      <c r="B1719" s="19" t="s">
        <v>122</v>
      </c>
      <c r="C1719" s="19" t="s">
        <v>123</v>
      </c>
      <c r="D1719" s="20" t="s">
        <v>30</v>
      </c>
      <c r="E1719" s="21" t="s">
        <v>50</v>
      </c>
      <c r="F1719" s="22">
        <v>27.02</v>
      </c>
      <c r="G1719" s="22">
        <f>F1719-'Estatística'!$D$6/'Estatística'!$D$10</f>
        <v>26.01698037</v>
      </c>
      <c r="H1719" s="23">
        <v>45246.0</v>
      </c>
      <c r="I1719" s="24" t="str">
        <f t="shared" si="1"/>
        <v>nov.</v>
      </c>
      <c r="O1719" s="8"/>
    </row>
    <row r="1720" ht="15.75" customHeight="1">
      <c r="A1720" s="9">
        <v>39.0</v>
      </c>
      <c r="B1720" s="9" t="s">
        <v>89</v>
      </c>
      <c r="C1720" s="9" t="s">
        <v>90</v>
      </c>
      <c r="D1720" s="10" t="s">
        <v>11</v>
      </c>
      <c r="E1720" s="11" t="s">
        <v>97</v>
      </c>
      <c r="F1720" s="12">
        <v>3.67</v>
      </c>
      <c r="G1720" s="12">
        <f>F1720-'Estatística'!$D$6/'Estatística'!$D$10</f>
        <v>2.666980371</v>
      </c>
      <c r="H1720" s="13">
        <v>45246.0</v>
      </c>
      <c r="I1720" s="14" t="str">
        <f t="shared" si="1"/>
        <v>nov.</v>
      </c>
      <c r="O1720" s="8"/>
    </row>
    <row r="1721" ht="15.75" customHeight="1">
      <c r="A1721" s="19">
        <v>91.0</v>
      </c>
      <c r="B1721" s="19" t="s">
        <v>112</v>
      </c>
      <c r="C1721" s="19" t="s">
        <v>113</v>
      </c>
      <c r="D1721" s="20" t="s">
        <v>30</v>
      </c>
      <c r="E1721" s="21" t="s">
        <v>85</v>
      </c>
      <c r="F1721" s="22">
        <v>14.02</v>
      </c>
      <c r="G1721" s="22">
        <f>F1721-'Estatística'!$D$6/'Estatística'!$D$10</f>
        <v>13.01698037</v>
      </c>
      <c r="H1721" s="23">
        <v>45246.0</v>
      </c>
      <c r="I1721" s="24" t="str">
        <f t="shared" si="1"/>
        <v>nov.</v>
      </c>
      <c r="O1721" s="8"/>
    </row>
    <row r="1722" ht="15.75" customHeight="1">
      <c r="A1722" s="9">
        <v>61.0</v>
      </c>
      <c r="B1722" s="9" t="s">
        <v>106</v>
      </c>
      <c r="C1722" s="9" t="s">
        <v>107</v>
      </c>
      <c r="D1722" s="10" t="s">
        <v>30</v>
      </c>
      <c r="E1722" s="11" t="s">
        <v>60</v>
      </c>
      <c r="F1722" s="12">
        <v>40.89</v>
      </c>
      <c r="G1722" s="12">
        <f>F1722-'Estatística'!$D$6/'Estatística'!$D$10</f>
        <v>39.88698037</v>
      </c>
      <c r="H1722" s="13">
        <v>45246.0</v>
      </c>
      <c r="I1722" s="14" t="str">
        <f t="shared" si="1"/>
        <v>nov.</v>
      </c>
      <c r="O1722" s="8"/>
    </row>
    <row r="1723" ht="15.75" customHeight="1">
      <c r="A1723" s="19">
        <v>7.0</v>
      </c>
      <c r="B1723" s="19" t="s">
        <v>114</v>
      </c>
      <c r="C1723" s="19" t="s">
        <v>115</v>
      </c>
      <c r="D1723" s="20" t="s">
        <v>30</v>
      </c>
      <c r="E1723" s="21" t="s">
        <v>85</v>
      </c>
      <c r="F1723" s="22">
        <v>15.68</v>
      </c>
      <c r="G1723" s="22">
        <f>F1723-'Estatística'!$D$6/'Estatística'!$D$10</f>
        <v>14.67698037</v>
      </c>
      <c r="H1723" s="23">
        <v>45246.0</v>
      </c>
      <c r="I1723" s="24" t="str">
        <f t="shared" si="1"/>
        <v>nov.</v>
      </c>
      <c r="O1723" s="8"/>
    </row>
    <row r="1724" ht="15.75" customHeight="1">
      <c r="A1724" s="9">
        <v>58.0</v>
      </c>
      <c r="B1724" s="9" t="s">
        <v>165</v>
      </c>
      <c r="C1724" s="9" t="s">
        <v>166</v>
      </c>
      <c r="D1724" s="10" t="s">
        <v>30</v>
      </c>
      <c r="E1724" s="11" t="s">
        <v>35</v>
      </c>
      <c r="F1724" s="12">
        <v>18.89</v>
      </c>
      <c r="G1724" s="12">
        <f>F1724-'Estatística'!$D$6/'Estatística'!$D$10</f>
        <v>17.88698037</v>
      </c>
      <c r="H1724" s="13">
        <v>45246.0</v>
      </c>
      <c r="I1724" s="14" t="str">
        <f t="shared" si="1"/>
        <v>nov.</v>
      </c>
      <c r="O1724" s="8"/>
    </row>
    <row r="1725" ht="15.75" customHeight="1">
      <c r="A1725" s="19">
        <v>18.0</v>
      </c>
      <c r="B1725" s="19" t="s">
        <v>163</v>
      </c>
      <c r="C1725" s="19" t="s">
        <v>240</v>
      </c>
      <c r="D1725" s="20" t="s">
        <v>30</v>
      </c>
      <c r="E1725" s="21" t="s">
        <v>85</v>
      </c>
      <c r="F1725" s="22">
        <v>16.09</v>
      </c>
      <c r="G1725" s="22">
        <f>F1725-'Estatística'!$D$6/'Estatística'!$D$10</f>
        <v>15.08698037</v>
      </c>
      <c r="H1725" s="23">
        <v>45246.0</v>
      </c>
      <c r="I1725" s="24" t="str">
        <f t="shared" si="1"/>
        <v>nov.</v>
      </c>
      <c r="O1725" s="8"/>
    </row>
    <row r="1726" ht="15.75" customHeight="1">
      <c r="A1726" s="9">
        <v>2.0</v>
      </c>
      <c r="B1726" s="9" t="s">
        <v>83</v>
      </c>
      <c r="C1726" s="9" t="s">
        <v>84</v>
      </c>
      <c r="D1726" s="10" t="s">
        <v>11</v>
      </c>
      <c r="E1726" s="11" t="s">
        <v>79</v>
      </c>
      <c r="F1726" s="12">
        <v>38.92</v>
      </c>
      <c r="G1726" s="12">
        <f>F1726-'Estatística'!$D$6/'Estatística'!$D$10</f>
        <v>37.91698037</v>
      </c>
      <c r="H1726" s="13">
        <v>45246.0</v>
      </c>
      <c r="I1726" s="14" t="str">
        <f t="shared" si="1"/>
        <v>nov.</v>
      </c>
      <c r="O1726" s="8"/>
    </row>
    <row r="1727" ht="15.75" customHeight="1">
      <c r="A1727" s="19">
        <v>26.0</v>
      </c>
      <c r="B1727" s="19" t="s">
        <v>211</v>
      </c>
      <c r="C1727" s="19" t="s">
        <v>212</v>
      </c>
      <c r="D1727" s="20" t="s">
        <v>11</v>
      </c>
      <c r="E1727" s="21" t="s">
        <v>46</v>
      </c>
      <c r="F1727" s="22">
        <v>11.79</v>
      </c>
      <c r="G1727" s="22">
        <f>F1727-'Estatística'!$D$6/'Estatística'!$D$10</f>
        <v>10.78698037</v>
      </c>
      <c r="H1727" s="23">
        <v>45247.0</v>
      </c>
      <c r="I1727" s="24" t="str">
        <f t="shared" si="1"/>
        <v>nov.</v>
      </c>
      <c r="O1727" s="8"/>
    </row>
    <row r="1728" ht="15.75" customHeight="1">
      <c r="A1728" s="9">
        <v>15.0</v>
      </c>
      <c r="B1728" s="9" t="s">
        <v>58</v>
      </c>
      <c r="C1728" s="9" t="s">
        <v>59</v>
      </c>
      <c r="D1728" s="10" t="s">
        <v>11</v>
      </c>
      <c r="E1728" s="11" t="s">
        <v>76</v>
      </c>
      <c r="F1728" s="12">
        <v>11.96</v>
      </c>
      <c r="G1728" s="12">
        <f>F1728-'Estatística'!$D$6/'Estatística'!$D$10</f>
        <v>10.95698037</v>
      </c>
      <c r="H1728" s="13">
        <v>45247.0</v>
      </c>
      <c r="I1728" s="14" t="str">
        <f t="shared" si="1"/>
        <v>nov.</v>
      </c>
      <c r="O1728" s="8"/>
    </row>
    <row r="1729" ht="15.75" customHeight="1">
      <c r="A1729" s="19">
        <v>74.0</v>
      </c>
      <c r="B1729" s="19" t="s">
        <v>9</v>
      </c>
      <c r="C1729" s="19" t="s">
        <v>124</v>
      </c>
      <c r="D1729" s="20" t="s">
        <v>11</v>
      </c>
      <c r="E1729" s="21" t="s">
        <v>60</v>
      </c>
      <c r="F1729" s="22">
        <v>36.51</v>
      </c>
      <c r="G1729" s="22">
        <f>F1729-'Estatística'!$D$6/'Estatística'!$D$10</f>
        <v>35.50698037</v>
      </c>
      <c r="H1729" s="23">
        <v>45247.0</v>
      </c>
      <c r="I1729" s="24" t="str">
        <f t="shared" si="1"/>
        <v>nov.</v>
      </c>
      <c r="O1729" s="8"/>
    </row>
    <row r="1730" ht="15.75" customHeight="1">
      <c r="A1730" s="9">
        <v>51.0</v>
      </c>
      <c r="B1730" s="9" t="s">
        <v>233</v>
      </c>
      <c r="C1730" s="9" t="s">
        <v>234</v>
      </c>
      <c r="D1730" s="10" t="s">
        <v>11</v>
      </c>
      <c r="E1730" s="11" t="s">
        <v>31</v>
      </c>
      <c r="F1730" s="12">
        <v>53.79</v>
      </c>
      <c r="G1730" s="12">
        <f>F1730-'Estatística'!$D$6/'Estatística'!$D$10</f>
        <v>52.78698037</v>
      </c>
      <c r="H1730" s="13">
        <v>45247.0</v>
      </c>
      <c r="I1730" s="14" t="str">
        <f t="shared" si="1"/>
        <v>nov.</v>
      </c>
      <c r="O1730" s="8"/>
    </row>
    <row r="1731" ht="15.75" customHeight="1">
      <c r="A1731" s="19">
        <v>52.0</v>
      </c>
      <c r="B1731" s="19" t="s">
        <v>181</v>
      </c>
      <c r="C1731" s="19" t="s">
        <v>182</v>
      </c>
      <c r="D1731" s="20" t="s">
        <v>30</v>
      </c>
      <c r="E1731" s="21" t="s">
        <v>91</v>
      </c>
      <c r="F1731" s="22">
        <v>4.05</v>
      </c>
      <c r="G1731" s="22">
        <f>F1731-'Estatística'!$D$6/'Estatística'!$D$10</f>
        <v>3.046980371</v>
      </c>
      <c r="H1731" s="23">
        <v>45247.0</v>
      </c>
      <c r="I1731" s="24" t="str">
        <f t="shared" si="1"/>
        <v>nov.</v>
      </c>
      <c r="O1731" s="8"/>
    </row>
    <row r="1732" ht="15.75" customHeight="1">
      <c r="A1732" s="9">
        <v>9.0</v>
      </c>
      <c r="B1732" s="9" t="s">
        <v>207</v>
      </c>
      <c r="C1732" s="9" t="s">
        <v>208</v>
      </c>
      <c r="D1732" s="10" t="s">
        <v>11</v>
      </c>
      <c r="E1732" s="11" t="s">
        <v>52</v>
      </c>
      <c r="F1732" s="12">
        <v>52.58</v>
      </c>
      <c r="G1732" s="12">
        <f>F1732-'Estatística'!$D$6/'Estatística'!$D$10</f>
        <v>51.57698037</v>
      </c>
      <c r="H1732" s="13">
        <v>45247.0</v>
      </c>
      <c r="I1732" s="14" t="str">
        <f t="shared" si="1"/>
        <v>nov.</v>
      </c>
      <c r="O1732" s="8"/>
    </row>
    <row r="1733" ht="15.75" customHeight="1">
      <c r="A1733" s="19">
        <v>95.0</v>
      </c>
      <c r="B1733" s="19" t="s">
        <v>110</v>
      </c>
      <c r="C1733" s="19" t="s">
        <v>111</v>
      </c>
      <c r="D1733" s="20" t="s">
        <v>11</v>
      </c>
      <c r="E1733" s="21" t="s">
        <v>88</v>
      </c>
      <c r="F1733" s="22">
        <v>33.28</v>
      </c>
      <c r="G1733" s="22">
        <f>F1733-'Estatística'!$D$6/'Estatística'!$D$10</f>
        <v>32.27698037</v>
      </c>
      <c r="H1733" s="23">
        <v>45248.0</v>
      </c>
      <c r="I1733" s="24" t="str">
        <f t="shared" si="1"/>
        <v>nov.</v>
      </c>
      <c r="O1733" s="8"/>
    </row>
    <row r="1734" ht="15.75" customHeight="1">
      <c r="A1734" s="9">
        <v>25.0</v>
      </c>
      <c r="B1734" s="9" t="s">
        <v>154</v>
      </c>
      <c r="C1734" s="9" t="s">
        <v>155</v>
      </c>
      <c r="D1734" s="10" t="s">
        <v>11</v>
      </c>
      <c r="E1734" s="11" t="s">
        <v>79</v>
      </c>
      <c r="F1734" s="12">
        <v>32.05</v>
      </c>
      <c r="G1734" s="12">
        <f>F1734-'Estatística'!$D$6/'Estatística'!$D$10</f>
        <v>31.04698037</v>
      </c>
      <c r="H1734" s="13">
        <v>45248.0</v>
      </c>
      <c r="I1734" s="14" t="str">
        <f t="shared" si="1"/>
        <v>nov.</v>
      </c>
      <c r="O1734" s="8"/>
    </row>
    <row r="1735" ht="15.75" customHeight="1">
      <c r="A1735" s="19">
        <v>46.0</v>
      </c>
      <c r="B1735" s="19" t="s">
        <v>143</v>
      </c>
      <c r="C1735" s="19" t="s">
        <v>144</v>
      </c>
      <c r="D1735" s="20" t="s">
        <v>11</v>
      </c>
      <c r="E1735" s="21" t="s">
        <v>12</v>
      </c>
      <c r="F1735" s="22">
        <v>10.61</v>
      </c>
      <c r="G1735" s="22">
        <f>F1735-'Estatística'!$D$6/'Estatística'!$D$10</f>
        <v>9.606980371</v>
      </c>
      <c r="H1735" s="23">
        <v>45248.0</v>
      </c>
      <c r="I1735" s="24" t="str">
        <f t="shared" si="1"/>
        <v>nov.</v>
      </c>
      <c r="O1735" s="8"/>
    </row>
    <row r="1736" ht="15.75" customHeight="1">
      <c r="A1736" s="9">
        <v>80.0</v>
      </c>
      <c r="B1736" s="9" t="s">
        <v>37</v>
      </c>
      <c r="C1736" s="9" t="s">
        <v>38</v>
      </c>
      <c r="D1736" s="10" t="s">
        <v>30</v>
      </c>
      <c r="E1736" s="11" t="s">
        <v>60</v>
      </c>
      <c r="F1736" s="12">
        <v>38.54</v>
      </c>
      <c r="G1736" s="12">
        <f>F1736-'Estatística'!$D$6/'Estatística'!$D$10</f>
        <v>37.53698037</v>
      </c>
      <c r="H1736" s="13">
        <v>45248.0</v>
      </c>
      <c r="I1736" s="14" t="str">
        <f t="shared" si="1"/>
        <v>nov.</v>
      </c>
      <c r="O1736" s="8"/>
    </row>
    <row r="1737" ht="15.75" customHeight="1">
      <c r="A1737" s="19">
        <v>30.0</v>
      </c>
      <c r="B1737" s="19" t="s">
        <v>9</v>
      </c>
      <c r="C1737" s="19" t="s">
        <v>10</v>
      </c>
      <c r="D1737" s="20" t="s">
        <v>11</v>
      </c>
      <c r="E1737" s="21" t="s">
        <v>56</v>
      </c>
      <c r="F1737" s="22">
        <v>67.87</v>
      </c>
      <c r="G1737" s="22">
        <f>F1737-'Estatística'!$D$6/'Estatística'!$D$10</f>
        <v>66.86698037</v>
      </c>
      <c r="H1737" s="23">
        <v>45248.0</v>
      </c>
      <c r="I1737" s="24" t="str">
        <f t="shared" si="1"/>
        <v>nov.</v>
      </c>
      <c r="O1737" s="8"/>
    </row>
    <row r="1738" ht="15.75" customHeight="1">
      <c r="A1738" s="9">
        <v>47.0</v>
      </c>
      <c r="B1738" s="9" t="s">
        <v>120</v>
      </c>
      <c r="C1738" s="9" t="s">
        <v>121</v>
      </c>
      <c r="D1738" s="10" t="s">
        <v>30</v>
      </c>
      <c r="E1738" s="11" t="s">
        <v>76</v>
      </c>
      <c r="F1738" s="12">
        <v>11.42</v>
      </c>
      <c r="G1738" s="12">
        <f>F1738-'Estatística'!$D$6/'Estatística'!$D$10</f>
        <v>10.41698037</v>
      </c>
      <c r="H1738" s="13">
        <v>45248.0</v>
      </c>
      <c r="I1738" s="14" t="str">
        <f t="shared" si="1"/>
        <v>nov.</v>
      </c>
      <c r="O1738" s="8"/>
    </row>
    <row r="1739" ht="15.75" customHeight="1">
      <c r="A1739" s="19">
        <v>42.0</v>
      </c>
      <c r="B1739" s="19" t="s">
        <v>92</v>
      </c>
      <c r="C1739" s="19" t="s">
        <v>170</v>
      </c>
      <c r="D1739" s="20" t="s">
        <v>11</v>
      </c>
      <c r="E1739" s="21" t="s">
        <v>60</v>
      </c>
      <c r="F1739" s="22">
        <v>51.65</v>
      </c>
      <c r="G1739" s="22">
        <f>F1739-'Estatística'!$D$6/'Estatística'!$D$10</f>
        <v>50.64698037</v>
      </c>
      <c r="H1739" s="23">
        <v>45249.0</v>
      </c>
      <c r="I1739" s="24" t="str">
        <f t="shared" si="1"/>
        <v>nov.</v>
      </c>
      <c r="O1739" s="8"/>
    </row>
    <row r="1740" ht="15.75" customHeight="1">
      <c r="A1740" s="9">
        <v>62.0</v>
      </c>
      <c r="B1740" s="9" t="s">
        <v>156</v>
      </c>
      <c r="C1740" s="9" t="s">
        <v>157</v>
      </c>
      <c r="D1740" s="10" t="s">
        <v>11</v>
      </c>
      <c r="E1740" s="11" t="s">
        <v>12</v>
      </c>
      <c r="F1740" s="12">
        <v>10.75</v>
      </c>
      <c r="G1740" s="12">
        <f>F1740-'Estatística'!$D$6/'Estatística'!$D$10</f>
        <v>9.746980371</v>
      </c>
      <c r="H1740" s="13">
        <v>45249.0</v>
      </c>
      <c r="I1740" s="14" t="str">
        <f t="shared" si="1"/>
        <v>nov.</v>
      </c>
      <c r="O1740" s="8"/>
    </row>
    <row r="1741" ht="15.75" customHeight="1">
      <c r="A1741" s="19">
        <v>31.0</v>
      </c>
      <c r="B1741" s="19" t="s">
        <v>229</v>
      </c>
      <c r="C1741" s="19" t="s">
        <v>230</v>
      </c>
      <c r="D1741" s="20" t="s">
        <v>11</v>
      </c>
      <c r="E1741" s="21" t="s">
        <v>76</v>
      </c>
      <c r="F1741" s="22">
        <v>11.97</v>
      </c>
      <c r="G1741" s="22">
        <f>F1741-'Estatística'!$D$6/'Estatística'!$D$10</f>
        <v>10.96698037</v>
      </c>
      <c r="H1741" s="23">
        <v>45249.0</v>
      </c>
      <c r="I1741" s="24" t="str">
        <f t="shared" si="1"/>
        <v>nov.</v>
      </c>
      <c r="O1741" s="8"/>
    </row>
    <row r="1742" ht="15.75" customHeight="1">
      <c r="A1742" s="9">
        <v>8.0</v>
      </c>
      <c r="B1742" s="9" t="s">
        <v>108</v>
      </c>
      <c r="C1742" s="9" t="s">
        <v>109</v>
      </c>
      <c r="D1742" s="10" t="s">
        <v>11</v>
      </c>
      <c r="E1742" s="11" t="s">
        <v>76</v>
      </c>
      <c r="F1742" s="12">
        <v>10.89</v>
      </c>
      <c r="G1742" s="12">
        <f>F1742-'Estatística'!$D$6/'Estatística'!$D$10</f>
        <v>9.886980371</v>
      </c>
      <c r="H1742" s="13">
        <v>45249.0</v>
      </c>
      <c r="I1742" s="14" t="str">
        <f t="shared" si="1"/>
        <v>nov.</v>
      </c>
      <c r="O1742" s="8"/>
    </row>
    <row r="1743" ht="15.75" customHeight="1">
      <c r="A1743" s="19">
        <v>69.0</v>
      </c>
      <c r="B1743" s="19" t="s">
        <v>108</v>
      </c>
      <c r="C1743" s="19" t="s">
        <v>145</v>
      </c>
      <c r="D1743" s="20" t="s">
        <v>11</v>
      </c>
      <c r="E1743" s="21" t="s">
        <v>94</v>
      </c>
      <c r="F1743" s="22">
        <v>30.89</v>
      </c>
      <c r="G1743" s="22">
        <f>F1743-'Estatística'!$D$6/'Estatística'!$D$10</f>
        <v>29.88698037</v>
      </c>
      <c r="H1743" s="23">
        <v>45249.0</v>
      </c>
      <c r="I1743" s="24" t="str">
        <f t="shared" si="1"/>
        <v>nov.</v>
      </c>
      <c r="O1743" s="8"/>
    </row>
    <row r="1744" ht="15.75" customHeight="1">
      <c r="A1744" s="9">
        <v>81.0</v>
      </c>
      <c r="B1744" s="9" t="s">
        <v>54</v>
      </c>
      <c r="C1744" s="9" t="s">
        <v>55</v>
      </c>
      <c r="D1744" s="10" t="s">
        <v>30</v>
      </c>
      <c r="E1744" s="11" t="s">
        <v>50</v>
      </c>
      <c r="F1744" s="12">
        <v>28.75</v>
      </c>
      <c r="G1744" s="12">
        <f>F1744-'Estatística'!$D$6/'Estatística'!$D$10</f>
        <v>27.74698037</v>
      </c>
      <c r="H1744" s="13">
        <v>45249.0</v>
      </c>
      <c r="I1744" s="14" t="str">
        <f t="shared" si="1"/>
        <v>nov.</v>
      </c>
      <c r="O1744" s="8"/>
    </row>
    <row r="1745" ht="15.75" customHeight="1">
      <c r="A1745" s="19">
        <v>79.0</v>
      </c>
      <c r="B1745" s="19" t="s">
        <v>101</v>
      </c>
      <c r="C1745" s="19" t="s">
        <v>102</v>
      </c>
      <c r="D1745" s="20" t="s">
        <v>30</v>
      </c>
      <c r="E1745" s="21" t="s">
        <v>12</v>
      </c>
      <c r="F1745" s="22">
        <v>10.47</v>
      </c>
      <c r="G1745" s="22">
        <f>F1745-'Estatística'!$D$6/'Estatística'!$D$10</f>
        <v>9.466980371</v>
      </c>
      <c r="H1745" s="23">
        <v>45249.0</v>
      </c>
      <c r="I1745" s="24" t="str">
        <f t="shared" si="1"/>
        <v>nov.</v>
      </c>
      <c r="O1745" s="8"/>
    </row>
    <row r="1746" ht="15.75" customHeight="1">
      <c r="A1746" s="9">
        <v>65.0</v>
      </c>
      <c r="B1746" s="9" t="s">
        <v>209</v>
      </c>
      <c r="C1746" s="9" t="s">
        <v>210</v>
      </c>
      <c r="D1746" s="10" t="s">
        <v>30</v>
      </c>
      <c r="E1746" s="11" t="s">
        <v>85</v>
      </c>
      <c r="F1746" s="12">
        <v>13.47</v>
      </c>
      <c r="G1746" s="12">
        <f>F1746-'Estatística'!$D$6/'Estatística'!$D$10</f>
        <v>12.46698037</v>
      </c>
      <c r="H1746" s="13">
        <v>45249.0</v>
      </c>
      <c r="I1746" s="14" t="str">
        <f t="shared" si="1"/>
        <v>nov.</v>
      </c>
      <c r="O1746" s="8"/>
    </row>
    <row r="1747" ht="15.75" customHeight="1">
      <c r="A1747" s="19">
        <v>99.0</v>
      </c>
      <c r="B1747" s="19" t="s">
        <v>73</v>
      </c>
      <c r="C1747" s="19" t="s">
        <v>74</v>
      </c>
      <c r="D1747" s="20" t="s">
        <v>11</v>
      </c>
      <c r="E1747" s="21" t="s">
        <v>35</v>
      </c>
      <c r="F1747" s="22">
        <v>14.41</v>
      </c>
      <c r="G1747" s="22">
        <f>F1747-'Estatística'!$D$6/'Estatística'!$D$10</f>
        <v>13.40698037</v>
      </c>
      <c r="H1747" s="23">
        <v>45249.0</v>
      </c>
      <c r="I1747" s="24" t="str">
        <f t="shared" si="1"/>
        <v>nov.</v>
      </c>
      <c r="O1747" s="8"/>
    </row>
    <row r="1748" ht="15.75" customHeight="1">
      <c r="A1748" s="9">
        <v>61.0</v>
      </c>
      <c r="B1748" s="9" t="s">
        <v>106</v>
      </c>
      <c r="C1748" s="9" t="s">
        <v>107</v>
      </c>
      <c r="D1748" s="10" t="s">
        <v>30</v>
      </c>
      <c r="E1748" s="11" t="s">
        <v>12</v>
      </c>
      <c r="F1748" s="12">
        <v>10.81</v>
      </c>
      <c r="G1748" s="12">
        <f>F1748-'Estatística'!$D$6/'Estatística'!$D$10</f>
        <v>9.806980371</v>
      </c>
      <c r="H1748" s="13">
        <v>45249.0</v>
      </c>
      <c r="I1748" s="14" t="str">
        <f t="shared" si="1"/>
        <v>nov.</v>
      </c>
      <c r="O1748" s="8"/>
    </row>
    <row r="1749" ht="15.75" customHeight="1">
      <c r="A1749" s="19">
        <v>85.0</v>
      </c>
      <c r="B1749" s="19" t="s">
        <v>198</v>
      </c>
      <c r="C1749" s="19" t="s">
        <v>199</v>
      </c>
      <c r="D1749" s="20" t="s">
        <v>30</v>
      </c>
      <c r="E1749" s="21" t="s">
        <v>91</v>
      </c>
      <c r="F1749" s="22">
        <v>2.2</v>
      </c>
      <c r="G1749" s="22">
        <f>F1749-'Estatística'!$D$6/'Estatística'!$D$10</f>
        <v>1.196980371</v>
      </c>
      <c r="H1749" s="23">
        <v>45249.0</v>
      </c>
      <c r="I1749" s="24" t="str">
        <f t="shared" si="1"/>
        <v>nov.</v>
      </c>
      <c r="O1749" s="8"/>
    </row>
    <row r="1750" ht="15.75" customHeight="1">
      <c r="A1750" s="9">
        <v>18.0</v>
      </c>
      <c r="B1750" s="9" t="s">
        <v>163</v>
      </c>
      <c r="C1750" s="9" t="s">
        <v>240</v>
      </c>
      <c r="D1750" s="10" t="s">
        <v>11</v>
      </c>
      <c r="E1750" s="11" t="s">
        <v>88</v>
      </c>
      <c r="F1750" s="12">
        <v>39.28</v>
      </c>
      <c r="G1750" s="12">
        <f>F1750-'Estatística'!$D$6/'Estatística'!$D$10</f>
        <v>38.27698037</v>
      </c>
      <c r="H1750" s="13">
        <v>45249.0</v>
      </c>
      <c r="I1750" s="14" t="str">
        <f t="shared" si="1"/>
        <v>nov.</v>
      </c>
      <c r="O1750" s="8"/>
    </row>
    <row r="1751" ht="15.75" customHeight="1">
      <c r="A1751" s="19">
        <v>49.0</v>
      </c>
      <c r="B1751" s="19" t="s">
        <v>179</v>
      </c>
      <c r="C1751" s="19" t="s">
        <v>180</v>
      </c>
      <c r="D1751" s="20" t="s">
        <v>11</v>
      </c>
      <c r="E1751" s="21" t="s">
        <v>35</v>
      </c>
      <c r="F1751" s="22">
        <v>21.35</v>
      </c>
      <c r="G1751" s="22">
        <f>F1751-'Estatística'!$D$6/'Estatística'!$D$10</f>
        <v>20.34698037</v>
      </c>
      <c r="H1751" s="23">
        <v>45249.0</v>
      </c>
      <c r="I1751" s="24" t="str">
        <f t="shared" si="1"/>
        <v>nov.</v>
      </c>
      <c r="O1751" s="8"/>
    </row>
    <row r="1752" ht="15.75" customHeight="1">
      <c r="A1752" s="9">
        <v>53.0</v>
      </c>
      <c r="B1752" s="9" t="s">
        <v>241</v>
      </c>
      <c r="C1752" s="9" t="s">
        <v>242</v>
      </c>
      <c r="D1752" s="10" t="s">
        <v>30</v>
      </c>
      <c r="E1752" s="11" t="s">
        <v>52</v>
      </c>
      <c r="F1752" s="12">
        <v>49.32</v>
      </c>
      <c r="G1752" s="12">
        <f>F1752-'Estatística'!$D$6/'Estatística'!$D$10</f>
        <v>48.31698037</v>
      </c>
      <c r="H1752" s="13">
        <v>45250.0</v>
      </c>
      <c r="I1752" s="14" t="str">
        <f t="shared" si="1"/>
        <v>nov.</v>
      </c>
      <c r="O1752" s="8"/>
    </row>
    <row r="1753" ht="15.75" customHeight="1">
      <c r="A1753" s="19">
        <v>82.0</v>
      </c>
      <c r="B1753" s="19" t="s">
        <v>231</v>
      </c>
      <c r="C1753" s="19" t="s">
        <v>232</v>
      </c>
      <c r="D1753" s="20" t="s">
        <v>11</v>
      </c>
      <c r="E1753" s="21" t="s">
        <v>68</v>
      </c>
      <c r="F1753" s="22">
        <v>14.92</v>
      </c>
      <c r="G1753" s="22">
        <f>F1753-'Estatística'!$D$6/'Estatística'!$D$10</f>
        <v>13.91698037</v>
      </c>
      <c r="H1753" s="23">
        <v>45250.0</v>
      </c>
      <c r="I1753" s="24" t="str">
        <f t="shared" si="1"/>
        <v>nov.</v>
      </c>
      <c r="O1753" s="8"/>
    </row>
    <row r="1754" ht="15.75" customHeight="1">
      <c r="A1754" s="9">
        <v>47.0</v>
      </c>
      <c r="B1754" s="9" t="s">
        <v>120</v>
      </c>
      <c r="C1754" s="9" t="s">
        <v>121</v>
      </c>
      <c r="D1754" s="10" t="s">
        <v>11</v>
      </c>
      <c r="E1754" s="11" t="s">
        <v>68</v>
      </c>
      <c r="F1754" s="12">
        <v>7.16</v>
      </c>
      <c r="G1754" s="12">
        <f>F1754-'Estatística'!$D$6/'Estatística'!$D$10</f>
        <v>6.156980371</v>
      </c>
      <c r="H1754" s="13">
        <v>45250.0</v>
      </c>
      <c r="I1754" s="14" t="str">
        <f t="shared" si="1"/>
        <v>nov.</v>
      </c>
      <c r="O1754" s="8"/>
    </row>
    <row r="1755" ht="15.75" customHeight="1">
      <c r="A1755" s="19">
        <v>73.0</v>
      </c>
      <c r="B1755" s="19" t="s">
        <v>223</v>
      </c>
      <c r="C1755" s="19" t="s">
        <v>224</v>
      </c>
      <c r="D1755" s="20" t="s">
        <v>30</v>
      </c>
      <c r="E1755" s="21" t="s">
        <v>68</v>
      </c>
      <c r="F1755" s="22">
        <v>14.41</v>
      </c>
      <c r="G1755" s="22">
        <f>F1755-'Estatística'!$D$6/'Estatística'!$D$10</f>
        <v>13.40698037</v>
      </c>
      <c r="H1755" s="23">
        <v>45251.0</v>
      </c>
      <c r="I1755" s="24" t="str">
        <f t="shared" si="1"/>
        <v>nov.</v>
      </c>
      <c r="O1755" s="8"/>
    </row>
    <row r="1756" ht="15.75" customHeight="1">
      <c r="A1756" s="9">
        <v>66.0</v>
      </c>
      <c r="B1756" s="9" t="s">
        <v>150</v>
      </c>
      <c r="C1756" s="9" t="s">
        <v>158</v>
      </c>
      <c r="D1756" s="10" t="s">
        <v>30</v>
      </c>
      <c r="E1756" s="11" t="s">
        <v>79</v>
      </c>
      <c r="F1756" s="12">
        <v>32.38</v>
      </c>
      <c r="G1756" s="12">
        <f>F1756-'Estatística'!$D$6/'Estatística'!$D$10</f>
        <v>31.37698037</v>
      </c>
      <c r="H1756" s="13">
        <v>45251.0</v>
      </c>
      <c r="I1756" s="14" t="str">
        <f t="shared" si="1"/>
        <v>nov.</v>
      </c>
      <c r="O1756" s="8"/>
    </row>
    <row r="1757" ht="15.75" customHeight="1">
      <c r="A1757" s="19">
        <v>81.0</v>
      </c>
      <c r="B1757" s="19" t="s">
        <v>54</v>
      </c>
      <c r="C1757" s="19" t="s">
        <v>55</v>
      </c>
      <c r="D1757" s="20" t="s">
        <v>11</v>
      </c>
      <c r="E1757" s="21" t="s">
        <v>82</v>
      </c>
      <c r="F1757" s="22">
        <v>12.93</v>
      </c>
      <c r="G1757" s="22">
        <f>F1757-'Estatística'!$D$6/'Estatística'!$D$10</f>
        <v>11.92698037</v>
      </c>
      <c r="H1757" s="23">
        <v>45251.0</v>
      </c>
      <c r="I1757" s="24" t="str">
        <f t="shared" si="1"/>
        <v>nov.</v>
      </c>
      <c r="O1757" s="8"/>
    </row>
    <row r="1758" ht="15.75" customHeight="1">
      <c r="A1758" s="9">
        <v>44.0</v>
      </c>
      <c r="B1758" s="9" t="s">
        <v>215</v>
      </c>
      <c r="C1758" s="9" t="s">
        <v>216</v>
      </c>
      <c r="D1758" s="10" t="s">
        <v>30</v>
      </c>
      <c r="E1758" s="11" t="s">
        <v>68</v>
      </c>
      <c r="F1758" s="12">
        <v>10.49</v>
      </c>
      <c r="G1758" s="12">
        <f>F1758-'Estatística'!$D$6/'Estatística'!$D$10</f>
        <v>9.486980371</v>
      </c>
      <c r="H1758" s="13">
        <v>45251.0</v>
      </c>
      <c r="I1758" s="14" t="str">
        <f t="shared" si="1"/>
        <v>nov.</v>
      </c>
      <c r="O1758" s="8"/>
    </row>
    <row r="1759" ht="15.75" customHeight="1">
      <c r="A1759" s="19">
        <v>29.0</v>
      </c>
      <c r="B1759" s="19" t="s">
        <v>122</v>
      </c>
      <c r="C1759" s="19" t="s">
        <v>123</v>
      </c>
      <c r="D1759" s="20" t="s">
        <v>11</v>
      </c>
      <c r="E1759" s="21" t="s">
        <v>85</v>
      </c>
      <c r="F1759" s="22">
        <v>15.54</v>
      </c>
      <c r="G1759" s="22">
        <f>F1759-'Estatística'!$D$6/'Estatística'!$D$10</f>
        <v>14.53698037</v>
      </c>
      <c r="H1759" s="23">
        <v>45251.0</v>
      </c>
      <c r="I1759" s="24" t="str">
        <f t="shared" si="1"/>
        <v>nov.</v>
      </c>
      <c r="O1759" s="8"/>
    </row>
    <row r="1760" ht="15.75" customHeight="1">
      <c r="A1760" s="9">
        <v>41.0</v>
      </c>
      <c r="B1760" s="9" t="s">
        <v>217</v>
      </c>
      <c r="C1760" s="9" t="s">
        <v>218</v>
      </c>
      <c r="D1760" s="10" t="s">
        <v>30</v>
      </c>
      <c r="E1760" s="11" t="s">
        <v>52</v>
      </c>
      <c r="F1760" s="12">
        <v>69.83</v>
      </c>
      <c r="G1760" s="12">
        <f>F1760-'Estatística'!$D$6/'Estatística'!$D$10</f>
        <v>68.82698037</v>
      </c>
      <c r="H1760" s="13">
        <v>45252.0</v>
      </c>
      <c r="I1760" s="14" t="str">
        <f t="shared" si="1"/>
        <v>nov.</v>
      </c>
      <c r="O1760" s="8"/>
    </row>
    <row r="1761" ht="15.75" customHeight="1">
      <c r="A1761" s="19">
        <v>34.0</v>
      </c>
      <c r="B1761" s="19" t="s">
        <v>177</v>
      </c>
      <c r="C1761" s="19" t="s">
        <v>178</v>
      </c>
      <c r="D1761" s="20" t="s">
        <v>11</v>
      </c>
      <c r="E1761" s="21" t="s">
        <v>43</v>
      </c>
      <c r="F1761" s="22">
        <v>14.44</v>
      </c>
      <c r="G1761" s="22">
        <f>F1761-'Estatística'!$D$6/'Estatística'!$D$10</f>
        <v>13.43698037</v>
      </c>
      <c r="H1761" s="23">
        <v>45252.0</v>
      </c>
      <c r="I1761" s="24" t="str">
        <f t="shared" si="1"/>
        <v>nov.</v>
      </c>
      <c r="O1761" s="8"/>
    </row>
    <row r="1762" ht="15.75" customHeight="1">
      <c r="A1762" s="9">
        <v>77.0</v>
      </c>
      <c r="B1762" s="9" t="s">
        <v>9</v>
      </c>
      <c r="C1762" s="9" t="s">
        <v>169</v>
      </c>
      <c r="D1762" s="10" t="s">
        <v>11</v>
      </c>
      <c r="E1762" s="11" t="s">
        <v>82</v>
      </c>
      <c r="F1762" s="12">
        <v>14.68</v>
      </c>
      <c r="G1762" s="12">
        <f>F1762-'Estatística'!$D$6/'Estatística'!$D$10</f>
        <v>13.67698037</v>
      </c>
      <c r="H1762" s="13">
        <v>45252.0</v>
      </c>
      <c r="I1762" s="14" t="str">
        <f t="shared" si="1"/>
        <v>nov.</v>
      </c>
      <c r="O1762" s="8"/>
    </row>
    <row r="1763" ht="15.75" customHeight="1">
      <c r="A1763" s="19">
        <v>49.0</v>
      </c>
      <c r="B1763" s="19" t="s">
        <v>179</v>
      </c>
      <c r="C1763" s="19" t="s">
        <v>180</v>
      </c>
      <c r="D1763" s="20" t="s">
        <v>30</v>
      </c>
      <c r="E1763" s="21" t="s">
        <v>94</v>
      </c>
      <c r="F1763" s="22">
        <v>25.57</v>
      </c>
      <c r="G1763" s="22">
        <f>F1763-'Estatística'!$D$6/'Estatística'!$D$10</f>
        <v>24.56698037</v>
      </c>
      <c r="H1763" s="23">
        <v>45252.0</v>
      </c>
      <c r="I1763" s="24" t="str">
        <f t="shared" si="1"/>
        <v>nov.</v>
      </c>
      <c r="O1763" s="8"/>
    </row>
    <row r="1764" ht="15.75" customHeight="1">
      <c r="A1764" s="9">
        <v>99.0</v>
      </c>
      <c r="B1764" s="9" t="s">
        <v>73</v>
      </c>
      <c r="C1764" s="9" t="s">
        <v>74</v>
      </c>
      <c r="D1764" s="10" t="s">
        <v>11</v>
      </c>
      <c r="E1764" s="11" t="s">
        <v>79</v>
      </c>
      <c r="F1764" s="12">
        <v>34.98</v>
      </c>
      <c r="G1764" s="12">
        <f>F1764-'Estatística'!$D$6/'Estatística'!$D$10</f>
        <v>33.97698037</v>
      </c>
      <c r="H1764" s="13">
        <v>45252.0</v>
      </c>
      <c r="I1764" s="14" t="str">
        <f t="shared" si="1"/>
        <v>nov.</v>
      </c>
      <c r="O1764" s="8"/>
    </row>
    <row r="1765" ht="15.75" customHeight="1">
      <c r="A1765" s="19">
        <v>41.0</v>
      </c>
      <c r="B1765" s="19" t="s">
        <v>217</v>
      </c>
      <c r="C1765" s="19" t="s">
        <v>218</v>
      </c>
      <c r="D1765" s="20" t="s">
        <v>11</v>
      </c>
      <c r="E1765" s="21" t="s">
        <v>85</v>
      </c>
      <c r="F1765" s="22">
        <v>14.25</v>
      </c>
      <c r="G1765" s="22">
        <f>F1765-'Estatística'!$D$6/'Estatística'!$D$10</f>
        <v>13.24698037</v>
      </c>
      <c r="H1765" s="23">
        <v>45252.0</v>
      </c>
      <c r="I1765" s="24" t="str">
        <f t="shared" si="1"/>
        <v>nov.</v>
      </c>
      <c r="O1765" s="8"/>
    </row>
    <row r="1766" ht="15.75" customHeight="1">
      <c r="A1766" s="9">
        <v>94.0</v>
      </c>
      <c r="B1766" s="9" t="s">
        <v>207</v>
      </c>
      <c r="C1766" s="9" t="s">
        <v>237</v>
      </c>
      <c r="D1766" s="10" t="s">
        <v>30</v>
      </c>
      <c r="E1766" s="11" t="s">
        <v>12</v>
      </c>
      <c r="F1766" s="12">
        <v>10.73</v>
      </c>
      <c r="G1766" s="12">
        <f>F1766-'Estatística'!$D$6/'Estatística'!$D$10</f>
        <v>9.726980371</v>
      </c>
      <c r="H1766" s="13">
        <v>45252.0</v>
      </c>
      <c r="I1766" s="14" t="str">
        <f t="shared" si="1"/>
        <v>nov.</v>
      </c>
      <c r="O1766" s="8"/>
    </row>
    <row r="1767" ht="15.75" customHeight="1">
      <c r="A1767" s="19">
        <v>25.0</v>
      </c>
      <c r="B1767" s="19" t="s">
        <v>154</v>
      </c>
      <c r="C1767" s="19" t="s">
        <v>155</v>
      </c>
      <c r="D1767" s="20" t="s">
        <v>11</v>
      </c>
      <c r="E1767" s="21" t="s">
        <v>60</v>
      </c>
      <c r="F1767" s="22">
        <v>47.12</v>
      </c>
      <c r="G1767" s="22">
        <f>F1767-'Estatística'!$D$6/'Estatística'!$D$10</f>
        <v>46.11698037</v>
      </c>
      <c r="H1767" s="23">
        <v>45252.0</v>
      </c>
      <c r="I1767" s="24" t="str">
        <f t="shared" si="1"/>
        <v>nov.</v>
      </c>
      <c r="O1767" s="8"/>
    </row>
    <row r="1768" ht="15.75" customHeight="1">
      <c r="A1768" s="9">
        <v>98.0</v>
      </c>
      <c r="B1768" s="9" t="s">
        <v>159</v>
      </c>
      <c r="C1768" s="9" t="s">
        <v>196</v>
      </c>
      <c r="D1768" s="10" t="s">
        <v>30</v>
      </c>
      <c r="E1768" s="11" t="s">
        <v>56</v>
      </c>
      <c r="F1768" s="12">
        <v>73.96</v>
      </c>
      <c r="G1768" s="12">
        <f>F1768-'Estatística'!$D$6/'Estatística'!$D$10</f>
        <v>72.95698037</v>
      </c>
      <c r="H1768" s="13">
        <v>45252.0</v>
      </c>
      <c r="I1768" s="14" t="str">
        <f t="shared" si="1"/>
        <v>nov.</v>
      </c>
      <c r="O1768" s="8"/>
    </row>
    <row r="1769" ht="15.75" customHeight="1">
      <c r="A1769" s="19">
        <v>16.0</v>
      </c>
      <c r="B1769" s="19" t="s">
        <v>175</v>
      </c>
      <c r="C1769" s="19" t="s">
        <v>176</v>
      </c>
      <c r="D1769" s="20" t="s">
        <v>11</v>
      </c>
      <c r="E1769" s="21" t="s">
        <v>56</v>
      </c>
      <c r="F1769" s="22">
        <v>72.92</v>
      </c>
      <c r="G1769" s="22">
        <f>F1769-'Estatística'!$D$6/'Estatística'!$D$10</f>
        <v>71.91698037</v>
      </c>
      <c r="H1769" s="23">
        <v>45253.0</v>
      </c>
      <c r="I1769" s="24" t="str">
        <f t="shared" si="1"/>
        <v>nov.</v>
      </c>
      <c r="O1769" s="8"/>
    </row>
    <row r="1770" ht="15.75" customHeight="1">
      <c r="A1770" s="9">
        <v>49.0</v>
      </c>
      <c r="B1770" s="9" t="s">
        <v>179</v>
      </c>
      <c r="C1770" s="9" t="s">
        <v>180</v>
      </c>
      <c r="D1770" s="10" t="s">
        <v>30</v>
      </c>
      <c r="E1770" s="11" t="s">
        <v>85</v>
      </c>
      <c r="F1770" s="12">
        <v>15.86</v>
      </c>
      <c r="G1770" s="12">
        <f>F1770-'Estatística'!$D$6/'Estatística'!$D$10</f>
        <v>14.85698037</v>
      </c>
      <c r="H1770" s="13">
        <v>45253.0</v>
      </c>
      <c r="I1770" s="14" t="str">
        <f t="shared" si="1"/>
        <v>nov.</v>
      </c>
      <c r="O1770" s="8"/>
    </row>
    <row r="1771" ht="15.75" customHeight="1">
      <c r="A1771" s="19">
        <v>98.0</v>
      </c>
      <c r="B1771" s="19" t="s">
        <v>159</v>
      </c>
      <c r="C1771" s="19" t="s">
        <v>196</v>
      </c>
      <c r="D1771" s="20" t="s">
        <v>11</v>
      </c>
      <c r="E1771" s="21" t="s">
        <v>46</v>
      </c>
      <c r="F1771" s="22">
        <v>14.92</v>
      </c>
      <c r="G1771" s="22">
        <f>F1771-'Estatística'!$D$6/'Estatística'!$D$10</f>
        <v>13.91698037</v>
      </c>
      <c r="H1771" s="23">
        <v>45253.0</v>
      </c>
      <c r="I1771" s="24" t="str">
        <f t="shared" si="1"/>
        <v>nov.</v>
      </c>
      <c r="O1771" s="8"/>
    </row>
    <row r="1772" ht="15.75" customHeight="1">
      <c r="A1772" s="9">
        <v>34.0</v>
      </c>
      <c r="B1772" s="9" t="s">
        <v>177</v>
      </c>
      <c r="C1772" s="9" t="s">
        <v>178</v>
      </c>
      <c r="D1772" s="10" t="s">
        <v>11</v>
      </c>
      <c r="E1772" s="11" t="s">
        <v>56</v>
      </c>
      <c r="F1772" s="12">
        <v>76.21</v>
      </c>
      <c r="G1772" s="12">
        <f>F1772-'Estatística'!$D$6/'Estatística'!$D$10</f>
        <v>75.20698037</v>
      </c>
      <c r="H1772" s="13">
        <v>45253.0</v>
      </c>
      <c r="I1772" s="14" t="str">
        <f t="shared" si="1"/>
        <v>nov.</v>
      </c>
      <c r="O1772" s="8"/>
    </row>
    <row r="1773" ht="15.75" customHeight="1">
      <c r="A1773" s="19">
        <v>60.0</v>
      </c>
      <c r="B1773" s="19" t="s">
        <v>65</v>
      </c>
      <c r="C1773" s="19" t="s">
        <v>66</v>
      </c>
      <c r="D1773" s="20" t="s">
        <v>11</v>
      </c>
      <c r="E1773" s="21" t="s">
        <v>60</v>
      </c>
      <c r="F1773" s="22">
        <v>52.94</v>
      </c>
      <c r="G1773" s="22">
        <f>F1773-'Estatística'!$D$6/'Estatística'!$D$10</f>
        <v>51.93698037</v>
      </c>
      <c r="H1773" s="23">
        <v>45253.0</v>
      </c>
      <c r="I1773" s="24" t="str">
        <f t="shared" si="1"/>
        <v>nov.</v>
      </c>
      <c r="O1773" s="8"/>
    </row>
    <row r="1774" ht="15.75" customHeight="1">
      <c r="A1774" s="9">
        <v>14.0</v>
      </c>
      <c r="B1774" s="9" t="s">
        <v>171</v>
      </c>
      <c r="C1774" s="9" t="s">
        <v>172</v>
      </c>
      <c r="D1774" s="10" t="s">
        <v>30</v>
      </c>
      <c r="E1774" s="11" t="s">
        <v>79</v>
      </c>
      <c r="F1774" s="12">
        <v>29.15</v>
      </c>
      <c r="G1774" s="12">
        <f>F1774-'Estatística'!$D$6/'Estatística'!$D$10</f>
        <v>28.14698037</v>
      </c>
      <c r="H1774" s="13">
        <v>45253.0</v>
      </c>
      <c r="I1774" s="14" t="str">
        <f t="shared" si="1"/>
        <v>nov.</v>
      </c>
      <c r="O1774" s="8"/>
    </row>
    <row r="1775" ht="15.75" customHeight="1">
      <c r="A1775" s="19">
        <v>36.0</v>
      </c>
      <c r="B1775" s="19" t="s">
        <v>92</v>
      </c>
      <c r="C1775" s="19" t="s">
        <v>93</v>
      </c>
      <c r="D1775" s="20" t="s">
        <v>30</v>
      </c>
      <c r="E1775" s="21" t="s">
        <v>91</v>
      </c>
      <c r="F1775" s="22">
        <v>3.68</v>
      </c>
      <c r="G1775" s="22">
        <f>F1775-'Estatística'!$D$6/'Estatística'!$D$10</f>
        <v>2.676980371</v>
      </c>
      <c r="H1775" s="23">
        <v>45253.0</v>
      </c>
      <c r="I1775" s="24" t="str">
        <f t="shared" si="1"/>
        <v>nov.</v>
      </c>
      <c r="O1775" s="8"/>
    </row>
    <row r="1776" ht="15.75" customHeight="1">
      <c r="A1776" s="9">
        <v>40.0</v>
      </c>
      <c r="B1776" s="9" t="s">
        <v>122</v>
      </c>
      <c r="C1776" s="9" t="s">
        <v>185</v>
      </c>
      <c r="D1776" s="10" t="s">
        <v>11</v>
      </c>
      <c r="E1776" s="11" t="s">
        <v>46</v>
      </c>
      <c r="F1776" s="12">
        <v>12.52</v>
      </c>
      <c r="G1776" s="12">
        <f>F1776-'Estatística'!$D$6/'Estatística'!$D$10</f>
        <v>11.51698037</v>
      </c>
      <c r="H1776" s="13">
        <v>45253.0</v>
      </c>
      <c r="I1776" s="14" t="str">
        <f t="shared" si="1"/>
        <v>nov.</v>
      </c>
      <c r="O1776" s="8"/>
    </row>
    <row r="1777" ht="15.75" customHeight="1">
      <c r="A1777" s="19">
        <v>22.0</v>
      </c>
      <c r="B1777" s="19" t="s">
        <v>131</v>
      </c>
      <c r="C1777" s="19" t="s">
        <v>132</v>
      </c>
      <c r="D1777" s="20" t="s">
        <v>30</v>
      </c>
      <c r="E1777" s="21" t="s">
        <v>97</v>
      </c>
      <c r="F1777" s="22">
        <v>4.91</v>
      </c>
      <c r="G1777" s="22">
        <f>F1777-'Estatística'!$D$6/'Estatística'!$D$10</f>
        <v>3.906980371</v>
      </c>
      <c r="H1777" s="23">
        <v>45254.0</v>
      </c>
      <c r="I1777" s="24" t="str">
        <f t="shared" si="1"/>
        <v>nov.</v>
      </c>
      <c r="O1777" s="8"/>
    </row>
    <row r="1778" ht="15.75" customHeight="1">
      <c r="A1778" s="9">
        <v>85.0</v>
      </c>
      <c r="B1778" s="9" t="s">
        <v>198</v>
      </c>
      <c r="C1778" s="9" t="s">
        <v>199</v>
      </c>
      <c r="D1778" s="10" t="s">
        <v>30</v>
      </c>
      <c r="E1778" s="11" t="s">
        <v>68</v>
      </c>
      <c r="F1778" s="12">
        <v>10.49</v>
      </c>
      <c r="G1778" s="12">
        <f>F1778-'Estatística'!$D$6/'Estatística'!$D$10</f>
        <v>9.486980371</v>
      </c>
      <c r="H1778" s="13">
        <v>45254.0</v>
      </c>
      <c r="I1778" s="14" t="str">
        <f t="shared" si="1"/>
        <v>nov.</v>
      </c>
      <c r="O1778" s="8"/>
    </row>
    <row r="1779" ht="15.75" customHeight="1">
      <c r="A1779" s="19">
        <v>38.0</v>
      </c>
      <c r="B1779" s="19" t="s">
        <v>116</v>
      </c>
      <c r="C1779" s="19" t="s">
        <v>117</v>
      </c>
      <c r="D1779" s="20" t="s">
        <v>30</v>
      </c>
      <c r="E1779" s="21" t="s">
        <v>39</v>
      </c>
      <c r="F1779" s="22">
        <v>31.87</v>
      </c>
      <c r="G1779" s="22">
        <f>F1779-'Estatística'!$D$6/'Estatística'!$D$10</f>
        <v>30.86698037</v>
      </c>
      <c r="H1779" s="23">
        <v>45254.0</v>
      </c>
      <c r="I1779" s="24" t="str">
        <f t="shared" si="1"/>
        <v>nov.</v>
      </c>
      <c r="O1779" s="8"/>
    </row>
    <row r="1780" ht="15.75" customHeight="1">
      <c r="A1780" s="9">
        <v>44.0</v>
      </c>
      <c r="B1780" s="9" t="s">
        <v>215</v>
      </c>
      <c r="C1780" s="9" t="s">
        <v>216</v>
      </c>
      <c r="D1780" s="10" t="s">
        <v>11</v>
      </c>
      <c r="E1780" s="11" t="s">
        <v>35</v>
      </c>
      <c r="F1780" s="12">
        <v>19.48</v>
      </c>
      <c r="G1780" s="12">
        <f>F1780-'Estatística'!$D$6/'Estatística'!$D$10</f>
        <v>18.47698037</v>
      </c>
      <c r="H1780" s="13">
        <v>45254.0</v>
      </c>
      <c r="I1780" s="14" t="str">
        <f t="shared" si="1"/>
        <v>nov.</v>
      </c>
      <c r="O1780" s="8"/>
    </row>
    <row r="1781" ht="15.75" customHeight="1">
      <c r="A1781" s="19">
        <v>85.0</v>
      </c>
      <c r="B1781" s="19" t="s">
        <v>198</v>
      </c>
      <c r="C1781" s="19" t="s">
        <v>199</v>
      </c>
      <c r="D1781" s="20" t="s">
        <v>11</v>
      </c>
      <c r="E1781" s="21" t="s">
        <v>88</v>
      </c>
      <c r="F1781" s="22">
        <v>32.44</v>
      </c>
      <c r="G1781" s="22">
        <f>F1781-'Estatística'!$D$6/'Estatística'!$D$10</f>
        <v>31.43698037</v>
      </c>
      <c r="H1781" s="23">
        <v>45254.0</v>
      </c>
      <c r="I1781" s="24" t="str">
        <f t="shared" si="1"/>
        <v>nov.</v>
      </c>
      <c r="O1781" s="8"/>
    </row>
    <row r="1782" ht="15.75" customHeight="1">
      <c r="A1782" s="9">
        <v>52.0</v>
      </c>
      <c r="B1782" s="9" t="s">
        <v>181</v>
      </c>
      <c r="C1782" s="9" t="s">
        <v>182</v>
      </c>
      <c r="D1782" s="10" t="s">
        <v>30</v>
      </c>
      <c r="E1782" s="11" t="s">
        <v>76</v>
      </c>
      <c r="F1782" s="12">
        <v>11.32</v>
      </c>
      <c r="G1782" s="12">
        <f>F1782-'Estatística'!$D$6/'Estatística'!$D$10</f>
        <v>10.31698037</v>
      </c>
      <c r="H1782" s="13">
        <v>45254.0</v>
      </c>
      <c r="I1782" s="14" t="str">
        <f t="shared" si="1"/>
        <v>nov.</v>
      </c>
      <c r="O1782" s="8"/>
    </row>
    <row r="1783" ht="15.75" customHeight="1">
      <c r="A1783" s="19">
        <v>75.0</v>
      </c>
      <c r="B1783" s="19" t="s">
        <v>238</v>
      </c>
      <c r="C1783" s="19" t="s">
        <v>239</v>
      </c>
      <c r="D1783" s="20" t="s">
        <v>30</v>
      </c>
      <c r="E1783" s="21" t="s">
        <v>85</v>
      </c>
      <c r="F1783" s="22">
        <v>13.55</v>
      </c>
      <c r="G1783" s="22">
        <f>F1783-'Estatística'!$D$6/'Estatística'!$D$10</f>
        <v>12.54698037</v>
      </c>
      <c r="H1783" s="23">
        <v>45254.0</v>
      </c>
      <c r="I1783" s="24" t="str">
        <f t="shared" si="1"/>
        <v>nov.</v>
      </c>
      <c r="O1783" s="8"/>
    </row>
    <row r="1784" ht="15.75" customHeight="1">
      <c r="A1784" s="9">
        <v>4.0</v>
      </c>
      <c r="B1784" s="9" t="s">
        <v>118</v>
      </c>
      <c r="C1784" s="9" t="s">
        <v>119</v>
      </c>
      <c r="D1784" s="10" t="s">
        <v>30</v>
      </c>
      <c r="E1784" s="11" t="s">
        <v>94</v>
      </c>
      <c r="F1784" s="12">
        <v>30.74</v>
      </c>
      <c r="G1784" s="12">
        <f>F1784-'Estatística'!$D$6/'Estatística'!$D$10</f>
        <v>29.73698037</v>
      </c>
      <c r="H1784" s="13">
        <v>45254.0</v>
      </c>
      <c r="I1784" s="14" t="str">
        <f t="shared" si="1"/>
        <v>nov.</v>
      </c>
      <c r="O1784" s="8"/>
    </row>
    <row r="1785" ht="15.75" customHeight="1">
      <c r="A1785" s="19">
        <v>90.0</v>
      </c>
      <c r="B1785" s="19" t="s">
        <v>219</v>
      </c>
      <c r="C1785" s="19" t="s">
        <v>220</v>
      </c>
      <c r="D1785" s="20" t="s">
        <v>11</v>
      </c>
      <c r="E1785" s="21" t="s">
        <v>43</v>
      </c>
      <c r="F1785" s="22">
        <v>18.65</v>
      </c>
      <c r="G1785" s="22">
        <f>F1785-'Estatística'!$D$6/'Estatística'!$D$10</f>
        <v>17.64698037</v>
      </c>
      <c r="H1785" s="23">
        <v>45254.0</v>
      </c>
      <c r="I1785" s="24" t="str">
        <f t="shared" si="1"/>
        <v>nov.</v>
      </c>
      <c r="O1785" s="8"/>
    </row>
    <row r="1786" ht="15.75" customHeight="1">
      <c r="A1786" s="9">
        <v>19.0</v>
      </c>
      <c r="B1786" s="9" t="s">
        <v>41</v>
      </c>
      <c r="C1786" s="9" t="s">
        <v>193</v>
      </c>
      <c r="D1786" s="10" t="s">
        <v>11</v>
      </c>
      <c r="E1786" s="11" t="s">
        <v>85</v>
      </c>
      <c r="F1786" s="12">
        <v>11.91</v>
      </c>
      <c r="G1786" s="12">
        <f>F1786-'Estatística'!$D$6/'Estatística'!$D$10</f>
        <v>10.90698037</v>
      </c>
      <c r="H1786" s="13">
        <v>45255.0</v>
      </c>
      <c r="I1786" s="14" t="str">
        <f t="shared" si="1"/>
        <v>nov.</v>
      </c>
      <c r="O1786" s="8"/>
    </row>
    <row r="1787" ht="15.75" customHeight="1">
      <c r="A1787" s="19">
        <v>93.0</v>
      </c>
      <c r="B1787" s="19" t="s">
        <v>129</v>
      </c>
      <c r="C1787" s="19" t="s">
        <v>130</v>
      </c>
      <c r="D1787" s="20" t="s">
        <v>30</v>
      </c>
      <c r="E1787" s="21" t="s">
        <v>68</v>
      </c>
      <c r="F1787" s="22">
        <v>19.52</v>
      </c>
      <c r="G1787" s="22">
        <f>F1787-'Estatística'!$D$6/'Estatística'!$D$10</f>
        <v>18.51698037</v>
      </c>
      <c r="H1787" s="23">
        <v>45255.0</v>
      </c>
      <c r="I1787" s="24" t="str">
        <f t="shared" si="1"/>
        <v>nov.</v>
      </c>
      <c r="O1787" s="8"/>
    </row>
    <row r="1788" ht="15.75" customHeight="1">
      <c r="A1788" s="9">
        <v>21.0</v>
      </c>
      <c r="B1788" s="9" t="s">
        <v>186</v>
      </c>
      <c r="C1788" s="9" t="s">
        <v>187</v>
      </c>
      <c r="D1788" s="10" t="s">
        <v>11</v>
      </c>
      <c r="E1788" s="11" t="s">
        <v>43</v>
      </c>
      <c r="F1788" s="12">
        <v>20.33</v>
      </c>
      <c r="G1788" s="12">
        <f>F1788-'Estatística'!$D$6/'Estatística'!$D$10</f>
        <v>19.32698037</v>
      </c>
      <c r="H1788" s="13">
        <v>45255.0</v>
      </c>
      <c r="I1788" s="14" t="str">
        <f t="shared" si="1"/>
        <v>nov.</v>
      </c>
      <c r="O1788" s="8"/>
    </row>
    <row r="1789" ht="15.75" customHeight="1">
      <c r="A1789" s="19">
        <v>97.0</v>
      </c>
      <c r="B1789" s="19" t="s">
        <v>69</v>
      </c>
      <c r="C1789" s="19" t="s">
        <v>70</v>
      </c>
      <c r="D1789" s="20" t="s">
        <v>30</v>
      </c>
      <c r="E1789" s="21" t="s">
        <v>39</v>
      </c>
      <c r="F1789" s="22">
        <v>28.17</v>
      </c>
      <c r="G1789" s="22">
        <f>F1789-'Estatística'!$D$6/'Estatística'!$D$10</f>
        <v>27.16698037</v>
      </c>
      <c r="H1789" s="23">
        <v>45255.0</v>
      </c>
      <c r="I1789" s="24" t="str">
        <f t="shared" si="1"/>
        <v>nov.</v>
      </c>
      <c r="O1789" s="8"/>
    </row>
    <row r="1790" ht="15.75" customHeight="1">
      <c r="A1790" s="9">
        <v>48.0</v>
      </c>
      <c r="B1790" s="9" t="s">
        <v>41</v>
      </c>
      <c r="C1790" s="9" t="s">
        <v>45</v>
      </c>
      <c r="D1790" s="10" t="s">
        <v>11</v>
      </c>
      <c r="E1790" s="11" t="s">
        <v>46</v>
      </c>
      <c r="F1790" s="12">
        <v>14.58</v>
      </c>
      <c r="G1790" s="12">
        <f>F1790-'Estatística'!$D$6/'Estatística'!$D$10</f>
        <v>13.57698037</v>
      </c>
      <c r="H1790" s="13">
        <v>45255.0</v>
      </c>
      <c r="I1790" s="14" t="str">
        <f t="shared" si="1"/>
        <v>nov.</v>
      </c>
      <c r="O1790" s="8"/>
    </row>
    <row r="1791" ht="15.75" customHeight="1">
      <c r="A1791" s="19">
        <v>66.0</v>
      </c>
      <c r="B1791" s="19" t="s">
        <v>150</v>
      </c>
      <c r="C1791" s="19" t="s">
        <v>158</v>
      </c>
      <c r="D1791" s="20" t="s">
        <v>30</v>
      </c>
      <c r="E1791" s="21" t="s">
        <v>72</v>
      </c>
      <c r="F1791" s="22">
        <v>24.99</v>
      </c>
      <c r="G1791" s="22">
        <f>F1791-'Estatística'!$D$6/'Estatística'!$D$10</f>
        <v>23.98698037</v>
      </c>
      <c r="H1791" s="23">
        <v>45255.0</v>
      </c>
      <c r="I1791" s="24" t="str">
        <f t="shared" si="1"/>
        <v>nov.</v>
      </c>
      <c r="O1791" s="8"/>
    </row>
    <row r="1792" ht="15.75" customHeight="1">
      <c r="A1792" s="9">
        <v>67.0</v>
      </c>
      <c r="B1792" s="9" t="s">
        <v>204</v>
      </c>
      <c r="C1792" s="9" t="s">
        <v>205</v>
      </c>
      <c r="D1792" s="10" t="s">
        <v>30</v>
      </c>
      <c r="E1792" s="11" t="s">
        <v>85</v>
      </c>
      <c r="F1792" s="12">
        <v>12.18</v>
      </c>
      <c r="G1792" s="12">
        <f>F1792-'Estatística'!$D$6/'Estatística'!$D$10</f>
        <v>11.17698037</v>
      </c>
      <c r="H1792" s="13">
        <v>45255.0</v>
      </c>
      <c r="I1792" s="14" t="str">
        <f t="shared" si="1"/>
        <v>nov.</v>
      </c>
      <c r="O1792" s="8"/>
    </row>
    <row r="1793" ht="15.75" customHeight="1">
      <c r="A1793" s="19">
        <v>96.0</v>
      </c>
      <c r="B1793" s="19" t="s">
        <v>163</v>
      </c>
      <c r="C1793" s="19" t="s">
        <v>164</v>
      </c>
      <c r="D1793" s="20" t="s">
        <v>30</v>
      </c>
      <c r="E1793" s="21" t="s">
        <v>60</v>
      </c>
      <c r="F1793" s="22">
        <v>39.54</v>
      </c>
      <c r="G1793" s="22">
        <f>F1793-'Estatística'!$D$6/'Estatística'!$D$10</f>
        <v>38.53698037</v>
      </c>
      <c r="H1793" s="23">
        <v>45255.0</v>
      </c>
      <c r="I1793" s="24" t="str">
        <f t="shared" si="1"/>
        <v>nov.</v>
      </c>
      <c r="O1793" s="8"/>
    </row>
    <row r="1794" ht="15.75" customHeight="1">
      <c r="A1794" s="9">
        <v>71.0</v>
      </c>
      <c r="B1794" s="9" t="s">
        <v>150</v>
      </c>
      <c r="C1794" s="9" t="s">
        <v>151</v>
      </c>
      <c r="D1794" s="10" t="s">
        <v>30</v>
      </c>
      <c r="E1794" s="11" t="s">
        <v>85</v>
      </c>
      <c r="F1794" s="12">
        <v>17.05</v>
      </c>
      <c r="G1794" s="12">
        <f>F1794-'Estatística'!$D$6/'Estatística'!$D$10</f>
        <v>16.04698037</v>
      </c>
      <c r="H1794" s="13">
        <v>45255.0</v>
      </c>
      <c r="I1794" s="14" t="str">
        <f t="shared" si="1"/>
        <v>nov.</v>
      </c>
      <c r="O1794" s="8"/>
    </row>
    <row r="1795" ht="15.75" customHeight="1">
      <c r="A1795" s="19">
        <v>87.0</v>
      </c>
      <c r="B1795" s="19" t="s">
        <v>243</v>
      </c>
      <c r="C1795" s="19" t="s">
        <v>244</v>
      </c>
      <c r="D1795" s="20" t="s">
        <v>11</v>
      </c>
      <c r="E1795" s="21" t="s">
        <v>46</v>
      </c>
      <c r="F1795" s="22">
        <v>14.26</v>
      </c>
      <c r="G1795" s="22">
        <f>F1795-'Estatística'!$D$6/'Estatística'!$D$10</f>
        <v>13.25698037</v>
      </c>
      <c r="H1795" s="23">
        <v>45255.0</v>
      </c>
      <c r="I1795" s="24" t="str">
        <f t="shared" si="1"/>
        <v>nov.</v>
      </c>
      <c r="O1795" s="8"/>
    </row>
    <row r="1796" ht="15.75" customHeight="1">
      <c r="A1796" s="9">
        <v>37.0</v>
      </c>
      <c r="B1796" s="9" t="s">
        <v>245</v>
      </c>
      <c r="C1796" s="9" t="s">
        <v>246</v>
      </c>
      <c r="D1796" s="10" t="s">
        <v>11</v>
      </c>
      <c r="E1796" s="11" t="s">
        <v>82</v>
      </c>
      <c r="F1796" s="12">
        <v>10.54</v>
      </c>
      <c r="G1796" s="12">
        <f>F1796-'Estatística'!$D$6/'Estatística'!$D$10</f>
        <v>9.536980371</v>
      </c>
      <c r="H1796" s="13">
        <v>45255.0</v>
      </c>
      <c r="I1796" s="14" t="str">
        <f t="shared" si="1"/>
        <v>nov.</v>
      </c>
      <c r="O1796" s="8"/>
    </row>
    <row r="1797" ht="15.75" customHeight="1">
      <c r="A1797" s="19">
        <v>22.0</v>
      </c>
      <c r="B1797" s="19" t="s">
        <v>131</v>
      </c>
      <c r="C1797" s="19" t="s">
        <v>132</v>
      </c>
      <c r="D1797" s="20" t="s">
        <v>30</v>
      </c>
      <c r="E1797" s="21" t="s">
        <v>39</v>
      </c>
      <c r="F1797" s="22">
        <v>19.03</v>
      </c>
      <c r="G1797" s="22">
        <f>F1797-'Estatística'!$D$6/'Estatística'!$D$10</f>
        <v>18.02698037</v>
      </c>
      <c r="H1797" s="23">
        <v>45255.0</v>
      </c>
      <c r="I1797" s="24" t="str">
        <f t="shared" si="1"/>
        <v>nov.</v>
      </c>
      <c r="O1797" s="8"/>
    </row>
    <row r="1798" ht="15.75" customHeight="1">
      <c r="A1798" s="9">
        <v>28.0</v>
      </c>
      <c r="B1798" s="9" t="s">
        <v>77</v>
      </c>
      <c r="C1798" s="9" t="s">
        <v>78</v>
      </c>
      <c r="D1798" s="10" t="s">
        <v>11</v>
      </c>
      <c r="E1798" s="11" t="s">
        <v>85</v>
      </c>
      <c r="F1798" s="12">
        <v>14.15</v>
      </c>
      <c r="G1798" s="12">
        <f>F1798-'Estatística'!$D$6/'Estatística'!$D$10</f>
        <v>13.14698037</v>
      </c>
      <c r="H1798" s="13">
        <v>45255.0</v>
      </c>
      <c r="I1798" s="14" t="str">
        <f t="shared" si="1"/>
        <v>nov.</v>
      </c>
      <c r="O1798" s="8"/>
    </row>
    <row r="1799" ht="15.75" customHeight="1">
      <c r="A1799" s="19">
        <v>62.0</v>
      </c>
      <c r="B1799" s="19" t="s">
        <v>156</v>
      </c>
      <c r="C1799" s="19" t="s">
        <v>157</v>
      </c>
      <c r="D1799" s="20" t="s">
        <v>11</v>
      </c>
      <c r="E1799" s="21" t="s">
        <v>43</v>
      </c>
      <c r="F1799" s="22">
        <v>14.19</v>
      </c>
      <c r="G1799" s="22">
        <f>F1799-'Estatística'!$D$6/'Estatística'!$D$10</f>
        <v>13.18698037</v>
      </c>
      <c r="H1799" s="23">
        <v>45256.0</v>
      </c>
      <c r="I1799" s="24" t="str">
        <f t="shared" si="1"/>
        <v>nov.</v>
      </c>
      <c r="O1799" s="8"/>
    </row>
    <row r="1800" ht="15.75" customHeight="1">
      <c r="A1800" s="9">
        <v>51.0</v>
      </c>
      <c r="B1800" s="9" t="s">
        <v>233</v>
      </c>
      <c r="C1800" s="9" t="s">
        <v>234</v>
      </c>
      <c r="D1800" s="10" t="s">
        <v>30</v>
      </c>
      <c r="E1800" s="11" t="s">
        <v>43</v>
      </c>
      <c r="F1800" s="12">
        <v>17.04</v>
      </c>
      <c r="G1800" s="12">
        <f>F1800-'Estatística'!$D$6/'Estatística'!$D$10</f>
        <v>16.03698037</v>
      </c>
      <c r="H1800" s="13">
        <v>45256.0</v>
      </c>
      <c r="I1800" s="14" t="str">
        <f t="shared" si="1"/>
        <v>nov.</v>
      </c>
      <c r="O1800" s="8"/>
    </row>
    <row r="1801" ht="15.75" customHeight="1">
      <c r="A1801" s="19">
        <v>31.0</v>
      </c>
      <c r="B1801" s="19" t="s">
        <v>229</v>
      </c>
      <c r="C1801" s="19" t="s">
        <v>230</v>
      </c>
      <c r="D1801" s="20" t="s">
        <v>30</v>
      </c>
      <c r="E1801" s="21" t="s">
        <v>68</v>
      </c>
      <c r="F1801" s="22">
        <v>10.6</v>
      </c>
      <c r="G1801" s="22">
        <f>F1801-'Estatística'!$D$6/'Estatística'!$D$10</f>
        <v>9.596980371</v>
      </c>
      <c r="H1801" s="23">
        <v>45256.0</v>
      </c>
      <c r="I1801" s="24" t="str">
        <f t="shared" si="1"/>
        <v>nov.</v>
      </c>
      <c r="O1801" s="8"/>
    </row>
    <row r="1802" ht="15.75" customHeight="1">
      <c r="A1802" s="9">
        <v>78.0</v>
      </c>
      <c r="B1802" s="9" t="s">
        <v>28</v>
      </c>
      <c r="C1802" s="9" t="s">
        <v>29</v>
      </c>
      <c r="D1802" s="10" t="s">
        <v>11</v>
      </c>
      <c r="E1802" s="11" t="s">
        <v>46</v>
      </c>
      <c r="F1802" s="12">
        <v>12.73</v>
      </c>
      <c r="G1802" s="12">
        <f>F1802-'Estatística'!$D$6/'Estatística'!$D$10</f>
        <v>11.72698037</v>
      </c>
      <c r="H1802" s="13">
        <v>45256.0</v>
      </c>
      <c r="I1802" s="14" t="str">
        <f t="shared" si="1"/>
        <v>nov.</v>
      </c>
      <c r="O1802" s="8"/>
    </row>
    <row r="1803" ht="15.75" customHeight="1">
      <c r="A1803" s="19">
        <v>88.0</v>
      </c>
      <c r="B1803" s="19" t="s">
        <v>200</v>
      </c>
      <c r="C1803" s="19" t="s">
        <v>206</v>
      </c>
      <c r="D1803" s="20" t="s">
        <v>11</v>
      </c>
      <c r="E1803" s="21" t="s">
        <v>88</v>
      </c>
      <c r="F1803" s="22">
        <v>34.94</v>
      </c>
      <c r="G1803" s="22">
        <f>F1803-'Estatística'!$D$6/'Estatística'!$D$10</f>
        <v>33.93698037</v>
      </c>
      <c r="H1803" s="23">
        <v>45257.0</v>
      </c>
      <c r="I1803" s="24" t="str">
        <f t="shared" si="1"/>
        <v>nov.</v>
      </c>
      <c r="O1803" s="8"/>
    </row>
    <row r="1804" ht="15.75" customHeight="1">
      <c r="A1804" s="9">
        <v>7.0</v>
      </c>
      <c r="B1804" s="9" t="s">
        <v>114</v>
      </c>
      <c r="C1804" s="9" t="s">
        <v>115</v>
      </c>
      <c r="D1804" s="10" t="s">
        <v>11</v>
      </c>
      <c r="E1804" s="11" t="s">
        <v>56</v>
      </c>
      <c r="F1804" s="12">
        <v>63.2</v>
      </c>
      <c r="G1804" s="12">
        <f>F1804-'Estatística'!$D$6/'Estatística'!$D$10</f>
        <v>62.19698037</v>
      </c>
      <c r="H1804" s="13">
        <v>45257.0</v>
      </c>
      <c r="I1804" s="14" t="str">
        <f t="shared" si="1"/>
        <v>nov.</v>
      </c>
      <c r="O1804" s="8"/>
    </row>
    <row r="1805" ht="15.75" customHeight="1">
      <c r="A1805" s="19">
        <v>49.0</v>
      </c>
      <c r="B1805" s="19" t="s">
        <v>179</v>
      </c>
      <c r="C1805" s="19" t="s">
        <v>180</v>
      </c>
      <c r="D1805" s="20" t="s">
        <v>30</v>
      </c>
      <c r="E1805" s="21" t="s">
        <v>43</v>
      </c>
      <c r="F1805" s="22">
        <v>18.45</v>
      </c>
      <c r="G1805" s="22">
        <f>F1805-'Estatística'!$D$6/'Estatística'!$D$10</f>
        <v>17.44698037</v>
      </c>
      <c r="H1805" s="23">
        <v>45257.0</v>
      </c>
      <c r="I1805" s="24" t="str">
        <f t="shared" si="1"/>
        <v>nov.</v>
      </c>
      <c r="O1805" s="8"/>
    </row>
    <row r="1806" ht="15.75" customHeight="1">
      <c r="A1806" s="9">
        <v>56.0</v>
      </c>
      <c r="B1806" s="9" t="s">
        <v>127</v>
      </c>
      <c r="C1806" s="9" t="s">
        <v>128</v>
      </c>
      <c r="D1806" s="10" t="s">
        <v>11</v>
      </c>
      <c r="E1806" s="11" t="s">
        <v>39</v>
      </c>
      <c r="F1806" s="12">
        <v>27.53</v>
      </c>
      <c r="G1806" s="12">
        <f>F1806-'Estatística'!$D$6/'Estatística'!$D$10</f>
        <v>26.52698037</v>
      </c>
      <c r="H1806" s="13">
        <v>45257.0</v>
      </c>
      <c r="I1806" s="14" t="str">
        <f t="shared" si="1"/>
        <v>nov.</v>
      </c>
      <c r="O1806" s="8"/>
    </row>
    <row r="1807" ht="15.75" customHeight="1">
      <c r="A1807" s="19">
        <v>98.0</v>
      </c>
      <c r="B1807" s="19" t="s">
        <v>159</v>
      </c>
      <c r="C1807" s="19" t="s">
        <v>196</v>
      </c>
      <c r="D1807" s="20" t="s">
        <v>11</v>
      </c>
      <c r="E1807" s="21" t="s">
        <v>68</v>
      </c>
      <c r="F1807" s="22">
        <v>19.28</v>
      </c>
      <c r="G1807" s="22">
        <f>F1807-'Estatística'!$D$6/'Estatística'!$D$10</f>
        <v>18.27698037</v>
      </c>
      <c r="H1807" s="23">
        <v>45257.0</v>
      </c>
      <c r="I1807" s="24" t="str">
        <f t="shared" si="1"/>
        <v>nov.</v>
      </c>
      <c r="O1807" s="8"/>
    </row>
    <row r="1808" ht="15.75" customHeight="1">
      <c r="A1808" s="9">
        <v>79.0</v>
      </c>
      <c r="B1808" s="9" t="s">
        <v>101</v>
      </c>
      <c r="C1808" s="9" t="s">
        <v>102</v>
      </c>
      <c r="D1808" s="10" t="s">
        <v>30</v>
      </c>
      <c r="E1808" s="11" t="s">
        <v>94</v>
      </c>
      <c r="F1808" s="12">
        <v>31.67</v>
      </c>
      <c r="G1808" s="12">
        <f>F1808-'Estatística'!$D$6/'Estatística'!$D$10</f>
        <v>30.66698037</v>
      </c>
      <c r="H1808" s="13">
        <v>45257.0</v>
      </c>
      <c r="I1808" s="14" t="str">
        <f t="shared" si="1"/>
        <v>nov.</v>
      </c>
      <c r="O1808" s="8"/>
    </row>
    <row r="1809" ht="15.75" customHeight="1">
      <c r="A1809" s="19">
        <v>79.0</v>
      </c>
      <c r="B1809" s="19" t="s">
        <v>101</v>
      </c>
      <c r="C1809" s="19" t="s">
        <v>102</v>
      </c>
      <c r="D1809" s="20" t="s">
        <v>30</v>
      </c>
      <c r="E1809" s="21" t="s">
        <v>46</v>
      </c>
      <c r="F1809" s="22">
        <v>13.02</v>
      </c>
      <c r="G1809" s="22">
        <f>F1809-'Estatística'!$D$6/'Estatística'!$D$10</f>
        <v>12.01698037</v>
      </c>
      <c r="H1809" s="23">
        <v>45257.0</v>
      </c>
      <c r="I1809" s="24" t="str">
        <f t="shared" si="1"/>
        <v>nov.</v>
      </c>
      <c r="O1809" s="8"/>
    </row>
    <row r="1810" ht="15.75" customHeight="1">
      <c r="A1810" s="9">
        <v>24.0</v>
      </c>
      <c r="B1810" s="9" t="s">
        <v>139</v>
      </c>
      <c r="C1810" s="9" t="s">
        <v>140</v>
      </c>
      <c r="D1810" s="10" t="s">
        <v>30</v>
      </c>
      <c r="E1810" s="11" t="s">
        <v>97</v>
      </c>
      <c r="F1810" s="12">
        <v>5.21</v>
      </c>
      <c r="G1810" s="12">
        <f>F1810-'Estatística'!$D$6/'Estatística'!$D$10</f>
        <v>4.206980371</v>
      </c>
      <c r="H1810" s="13">
        <v>45257.0</v>
      </c>
      <c r="I1810" s="14" t="str">
        <f t="shared" si="1"/>
        <v>nov.</v>
      </c>
      <c r="O1810" s="8"/>
    </row>
    <row r="1811" ht="15.75" customHeight="1">
      <c r="A1811" s="19">
        <v>5.0</v>
      </c>
      <c r="B1811" s="19" t="s">
        <v>167</v>
      </c>
      <c r="C1811" s="19" t="s">
        <v>168</v>
      </c>
      <c r="D1811" s="20" t="s">
        <v>11</v>
      </c>
      <c r="E1811" s="21" t="s">
        <v>91</v>
      </c>
      <c r="F1811" s="22">
        <v>3.09</v>
      </c>
      <c r="G1811" s="22">
        <f>F1811-'Estatística'!$D$6/'Estatística'!$D$10</f>
        <v>2.086980371</v>
      </c>
      <c r="H1811" s="23">
        <v>45258.0</v>
      </c>
      <c r="I1811" s="24" t="str">
        <f t="shared" si="1"/>
        <v>nov.</v>
      </c>
      <c r="O1811" s="8"/>
    </row>
    <row r="1812" ht="15.75" customHeight="1">
      <c r="A1812" s="9">
        <v>9.0</v>
      </c>
      <c r="B1812" s="9" t="s">
        <v>207</v>
      </c>
      <c r="C1812" s="9" t="s">
        <v>208</v>
      </c>
      <c r="D1812" s="10" t="s">
        <v>30</v>
      </c>
      <c r="E1812" s="11" t="s">
        <v>50</v>
      </c>
      <c r="F1812" s="12">
        <v>23.51</v>
      </c>
      <c r="G1812" s="12">
        <f>F1812-'Estatística'!$D$6/'Estatística'!$D$10</f>
        <v>22.50698037</v>
      </c>
      <c r="H1812" s="13">
        <v>45258.0</v>
      </c>
      <c r="I1812" s="14" t="str">
        <f t="shared" si="1"/>
        <v>nov.</v>
      </c>
      <c r="O1812" s="8"/>
    </row>
    <row r="1813" ht="15.75" customHeight="1">
      <c r="A1813" s="19">
        <v>77.0</v>
      </c>
      <c r="B1813" s="19" t="s">
        <v>9</v>
      </c>
      <c r="C1813" s="19" t="s">
        <v>169</v>
      </c>
      <c r="D1813" s="20" t="s">
        <v>11</v>
      </c>
      <c r="E1813" s="21" t="s">
        <v>39</v>
      </c>
      <c r="F1813" s="22">
        <v>33.86</v>
      </c>
      <c r="G1813" s="22">
        <f>F1813-'Estatística'!$D$6/'Estatística'!$D$10</f>
        <v>32.85698037</v>
      </c>
      <c r="H1813" s="23">
        <v>45258.0</v>
      </c>
      <c r="I1813" s="24" t="str">
        <f t="shared" si="1"/>
        <v>nov.</v>
      </c>
      <c r="O1813" s="8"/>
    </row>
    <row r="1814" ht="15.75" customHeight="1">
      <c r="A1814" s="9">
        <v>16.0</v>
      </c>
      <c r="B1814" s="9" t="s">
        <v>175</v>
      </c>
      <c r="C1814" s="9" t="s">
        <v>176</v>
      </c>
      <c r="D1814" s="10" t="s">
        <v>30</v>
      </c>
      <c r="E1814" s="11" t="s">
        <v>43</v>
      </c>
      <c r="F1814" s="12">
        <v>19.8</v>
      </c>
      <c r="G1814" s="12">
        <f>F1814-'Estatística'!$D$6/'Estatística'!$D$10</f>
        <v>18.79698037</v>
      </c>
      <c r="H1814" s="13">
        <v>45258.0</v>
      </c>
      <c r="I1814" s="14" t="str">
        <f t="shared" si="1"/>
        <v>nov.</v>
      </c>
      <c r="O1814" s="8"/>
    </row>
    <row r="1815" ht="15.75" customHeight="1">
      <c r="A1815" s="19">
        <v>90.0</v>
      </c>
      <c r="B1815" s="19" t="s">
        <v>219</v>
      </c>
      <c r="C1815" s="19" t="s">
        <v>220</v>
      </c>
      <c r="D1815" s="20" t="s">
        <v>11</v>
      </c>
      <c r="E1815" s="21" t="s">
        <v>60</v>
      </c>
      <c r="F1815" s="22">
        <v>46.22</v>
      </c>
      <c r="G1815" s="22">
        <f>F1815-'Estatística'!$D$6/'Estatística'!$D$10</f>
        <v>45.21698037</v>
      </c>
      <c r="H1815" s="23">
        <v>45261.0</v>
      </c>
      <c r="I1815" s="24" t="str">
        <f t="shared" si="1"/>
        <v>dez.</v>
      </c>
      <c r="O1815" s="8"/>
    </row>
    <row r="1816" ht="15.75" customHeight="1">
      <c r="A1816" s="9">
        <v>53.0</v>
      </c>
      <c r="B1816" s="9" t="s">
        <v>241</v>
      </c>
      <c r="C1816" s="9" t="s">
        <v>242</v>
      </c>
      <c r="D1816" s="10" t="s">
        <v>11</v>
      </c>
      <c r="E1816" s="11" t="s">
        <v>31</v>
      </c>
      <c r="F1816" s="12">
        <v>51.91</v>
      </c>
      <c r="G1816" s="12">
        <f>F1816-'Estatística'!$D$6/'Estatística'!$D$10</f>
        <v>50.90698037</v>
      </c>
      <c r="H1816" s="13">
        <v>45261.0</v>
      </c>
      <c r="I1816" s="14" t="str">
        <f t="shared" si="1"/>
        <v>dez.</v>
      </c>
      <c r="O1816" s="8"/>
    </row>
    <row r="1817" ht="15.75" customHeight="1">
      <c r="A1817" s="19">
        <v>56.0</v>
      </c>
      <c r="B1817" s="19" t="s">
        <v>127</v>
      </c>
      <c r="C1817" s="19" t="s">
        <v>128</v>
      </c>
      <c r="D1817" s="20" t="s">
        <v>11</v>
      </c>
      <c r="E1817" s="21" t="s">
        <v>56</v>
      </c>
      <c r="F1817" s="22">
        <v>69.63</v>
      </c>
      <c r="G1817" s="22">
        <f>F1817-'Estatística'!$D$6/'Estatística'!$D$10</f>
        <v>68.62698037</v>
      </c>
      <c r="H1817" s="23">
        <v>45261.0</v>
      </c>
      <c r="I1817" s="24" t="str">
        <f t="shared" si="1"/>
        <v>dez.</v>
      </c>
      <c r="O1817" s="8"/>
    </row>
    <row r="1818" ht="15.75" customHeight="1">
      <c r="A1818" s="9">
        <v>52.0</v>
      </c>
      <c r="B1818" s="9" t="s">
        <v>181</v>
      </c>
      <c r="C1818" s="9" t="s">
        <v>182</v>
      </c>
      <c r="D1818" s="10" t="s">
        <v>11</v>
      </c>
      <c r="E1818" s="11" t="s">
        <v>39</v>
      </c>
      <c r="F1818" s="12">
        <v>18.43</v>
      </c>
      <c r="G1818" s="12">
        <f>F1818-'Estatística'!$D$6/'Estatística'!$D$10</f>
        <v>17.42698037</v>
      </c>
      <c r="H1818" s="13">
        <v>45261.0</v>
      </c>
      <c r="I1818" s="14" t="str">
        <f t="shared" si="1"/>
        <v>dez.</v>
      </c>
      <c r="O1818" s="8"/>
    </row>
    <row r="1819" ht="15.75" customHeight="1">
      <c r="A1819" s="19">
        <v>93.0</v>
      </c>
      <c r="B1819" s="19" t="s">
        <v>129</v>
      </c>
      <c r="C1819" s="19" t="s">
        <v>130</v>
      </c>
      <c r="D1819" s="20" t="s">
        <v>30</v>
      </c>
      <c r="E1819" s="21" t="s">
        <v>31</v>
      </c>
      <c r="F1819" s="22">
        <v>43.74</v>
      </c>
      <c r="G1819" s="22">
        <f>F1819-'Estatística'!$D$6/'Estatística'!$D$10</f>
        <v>42.73698037</v>
      </c>
      <c r="H1819" s="23">
        <v>45261.0</v>
      </c>
      <c r="I1819" s="24" t="str">
        <f t="shared" si="1"/>
        <v>dez.</v>
      </c>
      <c r="O1819" s="8"/>
    </row>
    <row r="1820" ht="15.75" customHeight="1">
      <c r="A1820" s="9">
        <v>7.0</v>
      </c>
      <c r="B1820" s="9" t="s">
        <v>114</v>
      </c>
      <c r="C1820" s="9" t="s">
        <v>115</v>
      </c>
      <c r="D1820" s="10" t="s">
        <v>11</v>
      </c>
      <c r="E1820" s="11" t="s">
        <v>39</v>
      </c>
      <c r="F1820" s="12">
        <v>30.03</v>
      </c>
      <c r="G1820" s="12">
        <f>F1820-'Estatística'!$D$6/'Estatística'!$D$10</f>
        <v>29.02698037</v>
      </c>
      <c r="H1820" s="13">
        <v>45261.0</v>
      </c>
      <c r="I1820" s="14" t="str">
        <f t="shared" si="1"/>
        <v>dez.</v>
      </c>
      <c r="O1820" s="8"/>
    </row>
    <row r="1821" ht="15.75" customHeight="1">
      <c r="A1821" s="19">
        <v>53.0</v>
      </c>
      <c r="B1821" s="19" t="s">
        <v>241</v>
      </c>
      <c r="C1821" s="19" t="s">
        <v>242</v>
      </c>
      <c r="D1821" s="20" t="s">
        <v>11</v>
      </c>
      <c r="E1821" s="21" t="s">
        <v>52</v>
      </c>
      <c r="F1821" s="22">
        <v>60.53</v>
      </c>
      <c r="G1821" s="22">
        <f>F1821-'Estatística'!$D$6/'Estatística'!$D$10</f>
        <v>59.52698037</v>
      </c>
      <c r="H1821" s="23">
        <v>45261.0</v>
      </c>
      <c r="I1821" s="24" t="str">
        <f t="shared" si="1"/>
        <v>dez.</v>
      </c>
      <c r="O1821" s="8"/>
    </row>
    <row r="1822" ht="15.75" customHeight="1">
      <c r="A1822" s="9">
        <v>97.0</v>
      </c>
      <c r="B1822" s="9" t="s">
        <v>69</v>
      </c>
      <c r="C1822" s="9" t="s">
        <v>70</v>
      </c>
      <c r="D1822" s="10" t="s">
        <v>30</v>
      </c>
      <c r="E1822" s="11" t="s">
        <v>50</v>
      </c>
      <c r="F1822" s="12">
        <v>25.38</v>
      </c>
      <c r="G1822" s="12">
        <f>F1822-'Estatística'!$D$6/'Estatística'!$D$10</f>
        <v>24.37698037</v>
      </c>
      <c r="H1822" s="13">
        <v>45261.0</v>
      </c>
      <c r="I1822" s="14" t="str">
        <f t="shared" si="1"/>
        <v>dez.</v>
      </c>
      <c r="O1822" s="8"/>
    </row>
    <row r="1823" ht="15.75" customHeight="1">
      <c r="A1823" s="19">
        <v>5.0</v>
      </c>
      <c r="B1823" s="19" t="s">
        <v>167</v>
      </c>
      <c r="C1823" s="19" t="s">
        <v>168</v>
      </c>
      <c r="D1823" s="20" t="s">
        <v>30</v>
      </c>
      <c r="E1823" s="21" t="s">
        <v>85</v>
      </c>
      <c r="F1823" s="22">
        <v>15.88</v>
      </c>
      <c r="G1823" s="22">
        <f>F1823-'Estatística'!$D$6/'Estatística'!$D$10</f>
        <v>14.87698037</v>
      </c>
      <c r="H1823" s="23">
        <v>45261.0</v>
      </c>
      <c r="I1823" s="24" t="str">
        <f t="shared" si="1"/>
        <v>dez.</v>
      </c>
      <c r="O1823" s="8"/>
    </row>
    <row r="1824" ht="15.75" customHeight="1">
      <c r="A1824" s="9">
        <v>83.0</v>
      </c>
      <c r="B1824" s="9" t="s">
        <v>98</v>
      </c>
      <c r="C1824" s="9" t="s">
        <v>99</v>
      </c>
      <c r="D1824" s="10" t="s">
        <v>11</v>
      </c>
      <c r="E1824" s="11" t="s">
        <v>85</v>
      </c>
      <c r="F1824" s="12">
        <v>14.18</v>
      </c>
      <c r="G1824" s="12">
        <f>F1824-'Estatística'!$D$6/'Estatística'!$D$10</f>
        <v>13.17698037</v>
      </c>
      <c r="H1824" s="13">
        <v>45261.0</v>
      </c>
      <c r="I1824" s="14" t="str">
        <f t="shared" si="1"/>
        <v>dez.</v>
      </c>
      <c r="O1824" s="8"/>
    </row>
    <row r="1825" ht="15.75" customHeight="1">
      <c r="A1825" s="19">
        <v>72.0</v>
      </c>
      <c r="B1825" s="19" t="s">
        <v>133</v>
      </c>
      <c r="C1825" s="19" t="s">
        <v>134</v>
      </c>
      <c r="D1825" s="20" t="s">
        <v>11</v>
      </c>
      <c r="E1825" s="21" t="s">
        <v>39</v>
      </c>
      <c r="F1825" s="22">
        <v>36.32</v>
      </c>
      <c r="G1825" s="22">
        <f>F1825-'Estatística'!$D$6/'Estatística'!$D$10</f>
        <v>35.31698037</v>
      </c>
      <c r="H1825" s="23">
        <v>45262.0</v>
      </c>
      <c r="I1825" s="24" t="str">
        <f t="shared" si="1"/>
        <v>dez.</v>
      </c>
      <c r="O1825" s="8"/>
    </row>
    <row r="1826" ht="15.75" customHeight="1">
      <c r="A1826" s="9">
        <v>99.0</v>
      </c>
      <c r="B1826" s="9" t="s">
        <v>73</v>
      </c>
      <c r="C1826" s="9" t="s">
        <v>74</v>
      </c>
      <c r="D1826" s="10" t="s">
        <v>11</v>
      </c>
      <c r="E1826" s="11" t="s">
        <v>97</v>
      </c>
      <c r="F1826" s="12">
        <v>3.31</v>
      </c>
      <c r="G1826" s="12">
        <f>F1826-'Estatística'!$D$6/'Estatística'!$D$10</f>
        <v>2.306980371</v>
      </c>
      <c r="H1826" s="13">
        <v>45262.0</v>
      </c>
      <c r="I1826" s="14" t="str">
        <f t="shared" si="1"/>
        <v>dez.</v>
      </c>
      <c r="O1826" s="8"/>
    </row>
    <row r="1827" ht="15.75" customHeight="1">
      <c r="A1827" s="19">
        <v>84.0</v>
      </c>
      <c r="B1827" s="19" t="s">
        <v>141</v>
      </c>
      <c r="C1827" s="19" t="s">
        <v>142</v>
      </c>
      <c r="D1827" s="20" t="s">
        <v>11</v>
      </c>
      <c r="E1827" s="21" t="s">
        <v>56</v>
      </c>
      <c r="F1827" s="22">
        <v>64.85</v>
      </c>
      <c r="G1827" s="22">
        <f>F1827-'Estatística'!$D$6/'Estatística'!$D$10</f>
        <v>63.84698037</v>
      </c>
      <c r="H1827" s="23">
        <v>45262.0</v>
      </c>
      <c r="I1827" s="24" t="str">
        <f t="shared" si="1"/>
        <v>dez.</v>
      </c>
      <c r="O1827" s="8"/>
    </row>
    <row r="1828" ht="15.75" customHeight="1">
      <c r="A1828" s="9">
        <v>99.0</v>
      </c>
      <c r="B1828" s="9" t="s">
        <v>73</v>
      </c>
      <c r="C1828" s="9" t="s">
        <v>74</v>
      </c>
      <c r="D1828" s="10" t="s">
        <v>11</v>
      </c>
      <c r="E1828" s="11" t="s">
        <v>91</v>
      </c>
      <c r="F1828" s="12">
        <v>1.96</v>
      </c>
      <c r="G1828" s="12">
        <f>F1828-'Estatística'!$D$6/'Estatística'!$D$10</f>
        <v>0.9569803714</v>
      </c>
      <c r="H1828" s="13">
        <v>45262.0</v>
      </c>
      <c r="I1828" s="14" t="str">
        <f t="shared" si="1"/>
        <v>dez.</v>
      </c>
      <c r="O1828" s="8"/>
    </row>
    <row r="1829" ht="15.75" customHeight="1">
      <c r="A1829" s="19">
        <v>46.0</v>
      </c>
      <c r="B1829" s="19" t="s">
        <v>143</v>
      </c>
      <c r="C1829" s="19" t="s">
        <v>144</v>
      </c>
      <c r="D1829" s="20" t="s">
        <v>11</v>
      </c>
      <c r="E1829" s="21" t="s">
        <v>39</v>
      </c>
      <c r="F1829" s="22">
        <v>31.25</v>
      </c>
      <c r="G1829" s="22">
        <f>F1829-'Estatística'!$D$6/'Estatística'!$D$10</f>
        <v>30.24698037</v>
      </c>
      <c r="H1829" s="23">
        <v>45262.0</v>
      </c>
      <c r="I1829" s="24" t="str">
        <f t="shared" si="1"/>
        <v>dez.</v>
      </c>
      <c r="O1829" s="8"/>
    </row>
    <row r="1830" ht="15.75" customHeight="1">
      <c r="A1830" s="9">
        <v>50.0</v>
      </c>
      <c r="B1830" s="9" t="s">
        <v>33</v>
      </c>
      <c r="C1830" s="9" t="s">
        <v>34</v>
      </c>
      <c r="D1830" s="10" t="s">
        <v>30</v>
      </c>
      <c r="E1830" s="11" t="s">
        <v>43</v>
      </c>
      <c r="F1830" s="12">
        <v>16.94</v>
      </c>
      <c r="G1830" s="12">
        <f>F1830-'Estatística'!$D$6/'Estatística'!$D$10</f>
        <v>15.93698037</v>
      </c>
      <c r="H1830" s="13">
        <v>45262.0</v>
      </c>
      <c r="I1830" s="14" t="str">
        <f t="shared" si="1"/>
        <v>dez.</v>
      </c>
      <c r="O1830" s="8"/>
    </row>
    <row r="1831" ht="15.75" customHeight="1">
      <c r="A1831" s="19">
        <v>80.0</v>
      </c>
      <c r="B1831" s="19" t="s">
        <v>37</v>
      </c>
      <c r="C1831" s="19" t="s">
        <v>38</v>
      </c>
      <c r="D1831" s="20" t="s">
        <v>30</v>
      </c>
      <c r="E1831" s="21" t="s">
        <v>68</v>
      </c>
      <c r="F1831" s="22">
        <v>12.09</v>
      </c>
      <c r="G1831" s="22">
        <f>F1831-'Estatística'!$D$6/'Estatística'!$D$10</f>
        <v>11.08698037</v>
      </c>
      <c r="H1831" s="23">
        <v>45263.0</v>
      </c>
      <c r="I1831" s="24" t="str">
        <f t="shared" si="1"/>
        <v>dez.</v>
      </c>
      <c r="O1831" s="8"/>
    </row>
    <row r="1832" ht="15.75" customHeight="1">
      <c r="A1832" s="9">
        <v>72.0</v>
      </c>
      <c r="B1832" s="9" t="s">
        <v>133</v>
      </c>
      <c r="C1832" s="9" t="s">
        <v>134</v>
      </c>
      <c r="D1832" s="10" t="s">
        <v>11</v>
      </c>
      <c r="E1832" s="11" t="s">
        <v>50</v>
      </c>
      <c r="F1832" s="12">
        <v>30.64</v>
      </c>
      <c r="G1832" s="12">
        <f>F1832-'Estatística'!$D$6/'Estatística'!$D$10</f>
        <v>29.63698037</v>
      </c>
      <c r="H1832" s="13">
        <v>45263.0</v>
      </c>
      <c r="I1832" s="14" t="str">
        <f t="shared" si="1"/>
        <v>dez.</v>
      </c>
      <c r="O1832" s="8"/>
    </row>
    <row r="1833" ht="15.75" customHeight="1">
      <c r="A1833" s="19">
        <v>51.0</v>
      </c>
      <c r="B1833" s="19" t="s">
        <v>233</v>
      </c>
      <c r="C1833" s="19" t="s">
        <v>234</v>
      </c>
      <c r="D1833" s="20" t="s">
        <v>11</v>
      </c>
      <c r="E1833" s="21" t="s">
        <v>43</v>
      </c>
      <c r="F1833" s="22">
        <v>18.65</v>
      </c>
      <c r="G1833" s="22">
        <f>F1833-'Estatística'!$D$6/'Estatística'!$D$10</f>
        <v>17.64698037</v>
      </c>
      <c r="H1833" s="23">
        <v>45263.0</v>
      </c>
      <c r="I1833" s="24" t="str">
        <f t="shared" si="1"/>
        <v>dez.</v>
      </c>
      <c r="O1833" s="8"/>
    </row>
    <row r="1834" ht="15.75" customHeight="1">
      <c r="A1834" s="9">
        <v>41.0</v>
      </c>
      <c r="B1834" s="9" t="s">
        <v>217</v>
      </c>
      <c r="C1834" s="9" t="s">
        <v>218</v>
      </c>
      <c r="D1834" s="10" t="s">
        <v>11</v>
      </c>
      <c r="E1834" s="11" t="s">
        <v>50</v>
      </c>
      <c r="F1834" s="12">
        <v>31.34</v>
      </c>
      <c r="G1834" s="12">
        <f>F1834-'Estatística'!$D$6/'Estatística'!$D$10</f>
        <v>30.33698037</v>
      </c>
      <c r="H1834" s="13">
        <v>45264.0</v>
      </c>
      <c r="I1834" s="14" t="str">
        <f t="shared" si="1"/>
        <v>dez.</v>
      </c>
      <c r="O1834" s="8"/>
    </row>
    <row r="1835" ht="15.75" customHeight="1">
      <c r="A1835" s="19">
        <v>96.0</v>
      </c>
      <c r="B1835" s="19" t="s">
        <v>163</v>
      </c>
      <c r="C1835" s="19" t="s">
        <v>164</v>
      </c>
      <c r="D1835" s="20" t="s">
        <v>30</v>
      </c>
      <c r="E1835" s="21" t="s">
        <v>91</v>
      </c>
      <c r="F1835" s="22">
        <v>1.94</v>
      </c>
      <c r="G1835" s="22">
        <f>F1835-'Estatística'!$D$6/'Estatística'!$D$10</f>
        <v>0.9369803714</v>
      </c>
      <c r="H1835" s="23">
        <v>45264.0</v>
      </c>
      <c r="I1835" s="24" t="str">
        <f t="shared" si="1"/>
        <v>dez.</v>
      </c>
      <c r="O1835" s="8"/>
    </row>
    <row r="1836" ht="15.75" customHeight="1">
      <c r="A1836" s="9">
        <v>96.0</v>
      </c>
      <c r="B1836" s="9" t="s">
        <v>163</v>
      </c>
      <c r="C1836" s="9" t="s">
        <v>164</v>
      </c>
      <c r="D1836" s="10" t="s">
        <v>30</v>
      </c>
      <c r="E1836" s="11" t="s">
        <v>46</v>
      </c>
      <c r="F1836" s="12">
        <v>13.3</v>
      </c>
      <c r="G1836" s="12">
        <f>F1836-'Estatística'!$D$6/'Estatística'!$D$10</f>
        <v>12.29698037</v>
      </c>
      <c r="H1836" s="13">
        <v>45264.0</v>
      </c>
      <c r="I1836" s="14" t="str">
        <f t="shared" si="1"/>
        <v>dez.</v>
      </c>
      <c r="O1836" s="8"/>
    </row>
    <row r="1837" ht="15.75" customHeight="1">
      <c r="A1837" s="19">
        <v>15.0</v>
      </c>
      <c r="B1837" s="19" t="s">
        <v>58</v>
      </c>
      <c r="C1837" s="19" t="s">
        <v>59</v>
      </c>
      <c r="D1837" s="20" t="s">
        <v>30</v>
      </c>
      <c r="E1837" s="21" t="s">
        <v>76</v>
      </c>
      <c r="F1837" s="22">
        <v>12.6</v>
      </c>
      <c r="G1837" s="22">
        <f>F1837-'Estatística'!$D$6/'Estatística'!$D$10</f>
        <v>11.59698037</v>
      </c>
      <c r="H1837" s="23">
        <v>45264.0</v>
      </c>
      <c r="I1837" s="24" t="str">
        <f t="shared" si="1"/>
        <v>dez.</v>
      </c>
      <c r="O1837" s="8"/>
    </row>
    <row r="1838" ht="15.75" customHeight="1">
      <c r="A1838" s="9">
        <v>82.0</v>
      </c>
      <c r="B1838" s="9" t="s">
        <v>231</v>
      </c>
      <c r="C1838" s="9" t="s">
        <v>232</v>
      </c>
      <c r="D1838" s="10" t="s">
        <v>11</v>
      </c>
      <c r="E1838" s="11" t="s">
        <v>82</v>
      </c>
      <c r="F1838" s="12">
        <v>13.9</v>
      </c>
      <c r="G1838" s="12">
        <f>F1838-'Estatística'!$D$6/'Estatística'!$D$10</f>
        <v>12.89698037</v>
      </c>
      <c r="H1838" s="13">
        <v>45264.0</v>
      </c>
      <c r="I1838" s="14" t="str">
        <f t="shared" si="1"/>
        <v>dez.</v>
      </c>
      <c r="O1838" s="8"/>
    </row>
    <row r="1839" ht="15.75" customHeight="1">
      <c r="A1839" s="19">
        <v>95.0</v>
      </c>
      <c r="B1839" s="19" t="s">
        <v>110</v>
      </c>
      <c r="C1839" s="19" t="s">
        <v>111</v>
      </c>
      <c r="D1839" s="20" t="s">
        <v>11</v>
      </c>
      <c r="E1839" s="21" t="s">
        <v>35</v>
      </c>
      <c r="F1839" s="22">
        <v>15.2</v>
      </c>
      <c r="G1839" s="22">
        <f>F1839-'Estatística'!$D$6/'Estatística'!$D$10</f>
        <v>14.19698037</v>
      </c>
      <c r="H1839" s="23">
        <v>45264.0</v>
      </c>
      <c r="I1839" s="24" t="str">
        <f t="shared" si="1"/>
        <v>dez.</v>
      </c>
      <c r="O1839" s="8"/>
    </row>
    <row r="1840" ht="15.75" customHeight="1">
      <c r="A1840" s="9">
        <v>11.0</v>
      </c>
      <c r="B1840" s="9" t="s">
        <v>227</v>
      </c>
      <c r="C1840" s="9" t="s">
        <v>228</v>
      </c>
      <c r="D1840" s="10" t="s">
        <v>11</v>
      </c>
      <c r="E1840" s="11" t="s">
        <v>60</v>
      </c>
      <c r="F1840" s="12">
        <v>37.22</v>
      </c>
      <c r="G1840" s="12">
        <f>F1840-'Estatística'!$D$6/'Estatística'!$D$10</f>
        <v>36.21698037</v>
      </c>
      <c r="H1840" s="13">
        <v>45264.0</v>
      </c>
      <c r="I1840" s="14" t="str">
        <f t="shared" si="1"/>
        <v>dez.</v>
      </c>
      <c r="O1840" s="8"/>
    </row>
    <row r="1841" ht="15.75" customHeight="1">
      <c r="A1841" s="19">
        <v>28.0</v>
      </c>
      <c r="B1841" s="19" t="s">
        <v>77</v>
      </c>
      <c r="C1841" s="19" t="s">
        <v>78</v>
      </c>
      <c r="D1841" s="20" t="s">
        <v>11</v>
      </c>
      <c r="E1841" s="21" t="s">
        <v>97</v>
      </c>
      <c r="F1841" s="22">
        <v>2.28</v>
      </c>
      <c r="G1841" s="22">
        <f>F1841-'Estatística'!$D$6/'Estatística'!$D$10</f>
        <v>1.276980371</v>
      </c>
      <c r="H1841" s="23">
        <v>45265.0</v>
      </c>
      <c r="I1841" s="24" t="str">
        <f t="shared" si="1"/>
        <v>dez.</v>
      </c>
      <c r="O1841" s="8"/>
    </row>
    <row r="1842" ht="15.75" customHeight="1">
      <c r="A1842" s="9">
        <v>35.0</v>
      </c>
      <c r="B1842" s="9" t="s">
        <v>125</v>
      </c>
      <c r="C1842" s="9" t="s">
        <v>126</v>
      </c>
      <c r="D1842" s="10" t="s">
        <v>11</v>
      </c>
      <c r="E1842" s="11" t="s">
        <v>35</v>
      </c>
      <c r="F1842" s="12">
        <v>20.59</v>
      </c>
      <c r="G1842" s="12">
        <f>F1842-'Estatística'!$D$6/'Estatística'!$D$10</f>
        <v>19.58698037</v>
      </c>
      <c r="H1842" s="13">
        <v>45265.0</v>
      </c>
      <c r="I1842" s="14" t="str">
        <f t="shared" si="1"/>
        <v>dez.</v>
      </c>
      <c r="O1842" s="8"/>
    </row>
    <row r="1843" ht="15.75" customHeight="1">
      <c r="A1843" s="19">
        <v>37.0</v>
      </c>
      <c r="B1843" s="19" t="s">
        <v>245</v>
      </c>
      <c r="C1843" s="19" t="s">
        <v>246</v>
      </c>
      <c r="D1843" s="20" t="s">
        <v>30</v>
      </c>
      <c r="E1843" s="21" t="s">
        <v>72</v>
      </c>
      <c r="F1843" s="22">
        <v>16.39</v>
      </c>
      <c r="G1843" s="22">
        <f>F1843-'Estatística'!$D$6/'Estatística'!$D$10</f>
        <v>15.38698037</v>
      </c>
      <c r="H1843" s="23">
        <v>45265.0</v>
      </c>
      <c r="I1843" s="24" t="str">
        <f t="shared" si="1"/>
        <v>dez.</v>
      </c>
      <c r="O1843" s="8"/>
    </row>
    <row r="1844" ht="15.75" customHeight="1">
      <c r="A1844" s="9">
        <v>51.0</v>
      </c>
      <c r="B1844" s="9" t="s">
        <v>233</v>
      </c>
      <c r="C1844" s="9" t="s">
        <v>234</v>
      </c>
      <c r="D1844" s="10" t="s">
        <v>11</v>
      </c>
      <c r="E1844" s="11" t="s">
        <v>50</v>
      </c>
      <c r="F1844" s="12">
        <v>22.44</v>
      </c>
      <c r="G1844" s="12">
        <f>F1844-'Estatística'!$D$6/'Estatística'!$D$10</f>
        <v>21.43698037</v>
      </c>
      <c r="H1844" s="13">
        <v>45265.0</v>
      </c>
      <c r="I1844" s="14" t="str">
        <f t="shared" si="1"/>
        <v>dez.</v>
      </c>
      <c r="O1844" s="8"/>
    </row>
    <row r="1845" ht="15.75" customHeight="1">
      <c r="A1845" s="19">
        <v>75.0</v>
      </c>
      <c r="B1845" s="19" t="s">
        <v>238</v>
      </c>
      <c r="C1845" s="19" t="s">
        <v>239</v>
      </c>
      <c r="D1845" s="20" t="s">
        <v>11</v>
      </c>
      <c r="E1845" s="21" t="s">
        <v>94</v>
      </c>
      <c r="F1845" s="22">
        <v>31.24</v>
      </c>
      <c r="G1845" s="22">
        <f>F1845-'Estatística'!$D$6/'Estatística'!$D$10</f>
        <v>30.23698037</v>
      </c>
      <c r="H1845" s="23">
        <v>45265.0</v>
      </c>
      <c r="I1845" s="24" t="str">
        <f t="shared" si="1"/>
        <v>dez.</v>
      </c>
      <c r="O1845" s="8"/>
    </row>
    <row r="1846" ht="15.75" customHeight="1">
      <c r="A1846" s="9">
        <v>58.0</v>
      </c>
      <c r="B1846" s="9" t="s">
        <v>165</v>
      </c>
      <c r="C1846" s="9" t="s">
        <v>166</v>
      </c>
      <c r="D1846" s="10" t="s">
        <v>11</v>
      </c>
      <c r="E1846" s="11" t="s">
        <v>94</v>
      </c>
      <c r="F1846" s="12">
        <v>29.23</v>
      </c>
      <c r="G1846" s="12">
        <f>F1846-'Estatística'!$D$6/'Estatística'!$D$10</f>
        <v>28.22698037</v>
      </c>
      <c r="H1846" s="13">
        <v>45265.0</v>
      </c>
      <c r="I1846" s="14" t="str">
        <f t="shared" si="1"/>
        <v>dez.</v>
      </c>
      <c r="O1846" s="8"/>
    </row>
    <row r="1847" ht="15.75" customHeight="1">
      <c r="A1847" s="19">
        <v>16.0</v>
      </c>
      <c r="B1847" s="19" t="s">
        <v>175</v>
      </c>
      <c r="C1847" s="19" t="s">
        <v>176</v>
      </c>
      <c r="D1847" s="20" t="s">
        <v>30</v>
      </c>
      <c r="E1847" s="21" t="s">
        <v>56</v>
      </c>
      <c r="F1847" s="22">
        <v>76.7</v>
      </c>
      <c r="G1847" s="22">
        <f>F1847-'Estatística'!$D$6/'Estatística'!$D$10</f>
        <v>75.69698037</v>
      </c>
      <c r="H1847" s="23">
        <v>45265.0</v>
      </c>
      <c r="I1847" s="24" t="str">
        <f t="shared" si="1"/>
        <v>dez.</v>
      </c>
      <c r="O1847" s="8"/>
    </row>
    <row r="1848" ht="15.75" customHeight="1">
      <c r="A1848" s="9">
        <v>16.0</v>
      </c>
      <c r="B1848" s="9" t="s">
        <v>175</v>
      </c>
      <c r="C1848" s="9" t="s">
        <v>176</v>
      </c>
      <c r="D1848" s="10" t="s">
        <v>11</v>
      </c>
      <c r="E1848" s="11" t="s">
        <v>31</v>
      </c>
      <c r="F1848" s="12">
        <v>43.62</v>
      </c>
      <c r="G1848" s="12">
        <f>F1848-'Estatística'!$D$6/'Estatística'!$D$10</f>
        <v>42.61698037</v>
      </c>
      <c r="H1848" s="13">
        <v>45266.0</v>
      </c>
      <c r="I1848" s="14" t="str">
        <f t="shared" si="1"/>
        <v>dez.</v>
      </c>
      <c r="O1848" s="8"/>
    </row>
    <row r="1849" ht="15.75" customHeight="1">
      <c r="A1849" s="19">
        <v>84.0</v>
      </c>
      <c r="B1849" s="19" t="s">
        <v>141</v>
      </c>
      <c r="C1849" s="19" t="s">
        <v>142</v>
      </c>
      <c r="D1849" s="20" t="s">
        <v>30</v>
      </c>
      <c r="E1849" s="21" t="s">
        <v>39</v>
      </c>
      <c r="F1849" s="22">
        <v>30.86</v>
      </c>
      <c r="G1849" s="22">
        <f>F1849-'Estatística'!$D$6/'Estatística'!$D$10</f>
        <v>29.85698037</v>
      </c>
      <c r="H1849" s="23">
        <v>45266.0</v>
      </c>
      <c r="I1849" s="24" t="str">
        <f t="shared" si="1"/>
        <v>dez.</v>
      </c>
      <c r="O1849" s="8"/>
    </row>
    <row r="1850" ht="15.75" customHeight="1">
      <c r="A1850" s="9">
        <v>83.0</v>
      </c>
      <c r="B1850" s="9" t="s">
        <v>98</v>
      </c>
      <c r="C1850" s="9" t="s">
        <v>99</v>
      </c>
      <c r="D1850" s="10" t="s">
        <v>30</v>
      </c>
      <c r="E1850" s="11" t="s">
        <v>88</v>
      </c>
      <c r="F1850" s="12">
        <v>40.62</v>
      </c>
      <c r="G1850" s="12">
        <f>F1850-'Estatística'!$D$6/'Estatística'!$D$10</f>
        <v>39.61698037</v>
      </c>
      <c r="H1850" s="13">
        <v>45266.0</v>
      </c>
      <c r="I1850" s="14" t="str">
        <f t="shared" si="1"/>
        <v>dez.</v>
      </c>
      <c r="O1850" s="8"/>
    </row>
    <row r="1851" ht="15.75" customHeight="1">
      <c r="A1851" s="19">
        <v>95.0</v>
      </c>
      <c r="B1851" s="19" t="s">
        <v>110</v>
      </c>
      <c r="C1851" s="19" t="s">
        <v>111</v>
      </c>
      <c r="D1851" s="20" t="s">
        <v>11</v>
      </c>
      <c r="E1851" s="21" t="s">
        <v>46</v>
      </c>
      <c r="F1851" s="22">
        <v>12.0</v>
      </c>
      <c r="G1851" s="22">
        <f>F1851-'Estatística'!$D$6/'Estatística'!$D$10</f>
        <v>10.99698037</v>
      </c>
      <c r="H1851" s="23">
        <v>45267.0</v>
      </c>
      <c r="I1851" s="24" t="str">
        <f t="shared" si="1"/>
        <v>dez.</v>
      </c>
      <c r="O1851" s="8"/>
    </row>
    <row r="1852" ht="15.75" customHeight="1">
      <c r="A1852" s="9">
        <v>39.0</v>
      </c>
      <c r="B1852" s="9" t="s">
        <v>89</v>
      </c>
      <c r="C1852" s="9" t="s">
        <v>90</v>
      </c>
      <c r="D1852" s="10" t="s">
        <v>11</v>
      </c>
      <c r="E1852" s="11" t="s">
        <v>94</v>
      </c>
      <c r="F1852" s="12">
        <v>25.78</v>
      </c>
      <c r="G1852" s="12">
        <f>F1852-'Estatística'!$D$6/'Estatística'!$D$10</f>
        <v>24.77698037</v>
      </c>
      <c r="H1852" s="13">
        <v>45267.0</v>
      </c>
      <c r="I1852" s="14" t="str">
        <f t="shared" si="1"/>
        <v>dez.</v>
      </c>
      <c r="O1852" s="8"/>
    </row>
    <row r="1853" ht="15.75" customHeight="1">
      <c r="A1853" s="19">
        <v>54.0</v>
      </c>
      <c r="B1853" s="19" t="s">
        <v>86</v>
      </c>
      <c r="C1853" s="19" t="s">
        <v>87</v>
      </c>
      <c r="D1853" s="20" t="s">
        <v>11</v>
      </c>
      <c r="E1853" s="21" t="s">
        <v>76</v>
      </c>
      <c r="F1853" s="22">
        <v>10.57</v>
      </c>
      <c r="G1853" s="22">
        <f>F1853-'Estatística'!$D$6/'Estatística'!$D$10</f>
        <v>9.566980371</v>
      </c>
      <c r="H1853" s="23">
        <v>45267.0</v>
      </c>
      <c r="I1853" s="24" t="str">
        <f t="shared" si="1"/>
        <v>dez.</v>
      </c>
      <c r="O1853" s="8"/>
    </row>
    <row r="1854" ht="15.75" customHeight="1">
      <c r="A1854" s="9">
        <v>50.0</v>
      </c>
      <c r="B1854" s="9" t="s">
        <v>33</v>
      </c>
      <c r="C1854" s="9" t="s">
        <v>34</v>
      </c>
      <c r="D1854" s="10" t="s">
        <v>11</v>
      </c>
      <c r="E1854" s="11" t="s">
        <v>35</v>
      </c>
      <c r="F1854" s="12">
        <v>19.6</v>
      </c>
      <c r="G1854" s="12">
        <f>F1854-'Estatística'!$D$6/'Estatística'!$D$10</f>
        <v>18.59698037</v>
      </c>
      <c r="H1854" s="13">
        <v>45267.0</v>
      </c>
      <c r="I1854" s="14" t="str">
        <f t="shared" si="1"/>
        <v>dez.</v>
      </c>
      <c r="O1854" s="8"/>
    </row>
    <row r="1855" ht="15.75" customHeight="1">
      <c r="A1855" s="19">
        <v>79.0</v>
      </c>
      <c r="B1855" s="19" t="s">
        <v>101</v>
      </c>
      <c r="C1855" s="19" t="s">
        <v>102</v>
      </c>
      <c r="D1855" s="20" t="s">
        <v>30</v>
      </c>
      <c r="E1855" s="21" t="s">
        <v>82</v>
      </c>
      <c r="F1855" s="22">
        <v>10.93</v>
      </c>
      <c r="G1855" s="22">
        <f>F1855-'Estatística'!$D$6/'Estatística'!$D$10</f>
        <v>9.926980371</v>
      </c>
      <c r="H1855" s="23">
        <v>45267.0</v>
      </c>
      <c r="I1855" s="24" t="str">
        <f t="shared" si="1"/>
        <v>dez.</v>
      </c>
      <c r="O1855" s="8"/>
    </row>
    <row r="1856" ht="15.75" customHeight="1">
      <c r="A1856" s="9">
        <v>98.0</v>
      </c>
      <c r="B1856" s="9" t="s">
        <v>159</v>
      </c>
      <c r="C1856" s="9" t="s">
        <v>196</v>
      </c>
      <c r="D1856" s="10" t="s">
        <v>30</v>
      </c>
      <c r="E1856" s="11" t="s">
        <v>46</v>
      </c>
      <c r="F1856" s="12">
        <v>12.68</v>
      </c>
      <c r="G1856" s="12">
        <f>F1856-'Estatística'!$D$6/'Estatística'!$D$10</f>
        <v>11.67698037</v>
      </c>
      <c r="H1856" s="13">
        <v>45267.0</v>
      </c>
      <c r="I1856" s="14" t="str">
        <f t="shared" si="1"/>
        <v>dez.</v>
      </c>
      <c r="O1856" s="8"/>
    </row>
    <row r="1857" ht="15.75" customHeight="1">
      <c r="A1857" s="19">
        <v>19.0</v>
      </c>
      <c r="B1857" s="19" t="s">
        <v>41</v>
      </c>
      <c r="C1857" s="19" t="s">
        <v>193</v>
      </c>
      <c r="D1857" s="20" t="s">
        <v>11</v>
      </c>
      <c r="E1857" s="21" t="s">
        <v>85</v>
      </c>
      <c r="F1857" s="22">
        <v>15.23</v>
      </c>
      <c r="G1857" s="22">
        <f>F1857-'Estatística'!$D$6/'Estatística'!$D$10</f>
        <v>14.22698037</v>
      </c>
      <c r="H1857" s="23">
        <v>45267.0</v>
      </c>
      <c r="I1857" s="24" t="str">
        <f t="shared" si="1"/>
        <v>dez.</v>
      </c>
      <c r="O1857" s="8"/>
    </row>
    <row r="1858" ht="15.75" customHeight="1">
      <c r="A1858" s="9">
        <v>16.0</v>
      </c>
      <c r="B1858" s="9" t="s">
        <v>175</v>
      </c>
      <c r="C1858" s="9" t="s">
        <v>176</v>
      </c>
      <c r="D1858" s="10" t="s">
        <v>30</v>
      </c>
      <c r="E1858" s="11" t="s">
        <v>46</v>
      </c>
      <c r="F1858" s="12">
        <v>11.85</v>
      </c>
      <c r="G1858" s="12">
        <f>F1858-'Estatística'!$D$6/'Estatística'!$D$10</f>
        <v>10.84698037</v>
      </c>
      <c r="H1858" s="13">
        <v>45267.0</v>
      </c>
      <c r="I1858" s="14" t="str">
        <f t="shared" si="1"/>
        <v>dez.</v>
      </c>
      <c r="O1858" s="8"/>
    </row>
    <row r="1859" ht="15.75" customHeight="1">
      <c r="A1859" s="19">
        <v>71.0</v>
      </c>
      <c r="B1859" s="19" t="s">
        <v>150</v>
      </c>
      <c r="C1859" s="19" t="s">
        <v>151</v>
      </c>
      <c r="D1859" s="20" t="s">
        <v>30</v>
      </c>
      <c r="E1859" s="21" t="s">
        <v>72</v>
      </c>
      <c r="F1859" s="22">
        <v>21.57</v>
      </c>
      <c r="G1859" s="22">
        <f>F1859-'Estatística'!$D$6/'Estatística'!$D$10</f>
        <v>20.56698037</v>
      </c>
      <c r="H1859" s="23">
        <v>45268.0</v>
      </c>
      <c r="I1859" s="24" t="str">
        <f t="shared" si="1"/>
        <v>dez.</v>
      </c>
      <c r="O1859" s="8"/>
    </row>
    <row r="1860" ht="15.75" customHeight="1">
      <c r="A1860" s="9">
        <v>57.0</v>
      </c>
      <c r="B1860" s="9" t="s">
        <v>92</v>
      </c>
      <c r="C1860" s="9" t="s">
        <v>190</v>
      </c>
      <c r="D1860" s="10" t="s">
        <v>11</v>
      </c>
      <c r="E1860" s="11" t="s">
        <v>68</v>
      </c>
      <c r="F1860" s="12">
        <v>15.45</v>
      </c>
      <c r="G1860" s="12">
        <f>F1860-'Estatística'!$D$6/'Estatística'!$D$10</f>
        <v>14.44698037</v>
      </c>
      <c r="H1860" s="13">
        <v>45268.0</v>
      </c>
      <c r="I1860" s="14" t="str">
        <f t="shared" si="1"/>
        <v>dez.</v>
      </c>
      <c r="O1860" s="8"/>
    </row>
    <row r="1861" ht="15.75" customHeight="1">
      <c r="A1861" s="19">
        <v>61.0</v>
      </c>
      <c r="B1861" s="19" t="s">
        <v>106</v>
      </c>
      <c r="C1861" s="19" t="s">
        <v>107</v>
      </c>
      <c r="D1861" s="20" t="s">
        <v>30</v>
      </c>
      <c r="E1861" s="21" t="s">
        <v>39</v>
      </c>
      <c r="F1861" s="22">
        <v>41.96</v>
      </c>
      <c r="G1861" s="22">
        <f>F1861-'Estatística'!$D$6/'Estatística'!$D$10</f>
        <v>40.95698037</v>
      </c>
      <c r="H1861" s="23">
        <v>45268.0</v>
      </c>
      <c r="I1861" s="24" t="str">
        <f t="shared" si="1"/>
        <v>dez.</v>
      </c>
      <c r="O1861" s="8"/>
    </row>
    <row r="1862" ht="15.75" customHeight="1">
      <c r="A1862" s="9">
        <v>2.0</v>
      </c>
      <c r="B1862" s="9" t="s">
        <v>83</v>
      </c>
      <c r="C1862" s="9" t="s">
        <v>84</v>
      </c>
      <c r="D1862" s="10" t="s">
        <v>11</v>
      </c>
      <c r="E1862" s="11" t="s">
        <v>85</v>
      </c>
      <c r="F1862" s="12">
        <v>14.47</v>
      </c>
      <c r="G1862" s="12">
        <f>F1862-'Estatística'!$D$6/'Estatística'!$D$10</f>
        <v>13.46698037</v>
      </c>
      <c r="H1862" s="13">
        <v>45268.0</v>
      </c>
      <c r="I1862" s="14" t="str">
        <f t="shared" si="1"/>
        <v>dez.</v>
      </c>
      <c r="O1862" s="8"/>
    </row>
    <row r="1863" ht="15.75" customHeight="1">
      <c r="A1863" s="19">
        <v>51.0</v>
      </c>
      <c r="B1863" s="19" t="s">
        <v>233</v>
      </c>
      <c r="C1863" s="19" t="s">
        <v>234</v>
      </c>
      <c r="D1863" s="20" t="s">
        <v>30</v>
      </c>
      <c r="E1863" s="21" t="s">
        <v>56</v>
      </c>
      <c r="F1863" s="22">
        <v>79.47</v>
      </c>
      <c r="G1863" s="22">
        <f>F1863-'Estatística'!$D$6/'Estatística'!$D$10</f>
        <v>78.46698037</v>
      </c>
      <c r="H1863" s="23">
        <v>45268.0</v>
      </c>
      <c r="I1863" s="24" t="str">
        <f t="shared" si="1"/>
        <v>dez.</v>
      </c>
      <c r="O1863" s="8"/>
    </row>
    <row r="1864" ht="15.75" customHeight="1">
      <c r="A1864" s="9">
        <v>96.0</v>
      </c>
      <c r="B1864" s="9" t="s">
        <v>163</v>
      </c>
      <c r="C1864" s="9" t="s">
        <v>164</v>
      </c>
      <c r="D1864" s="10" t="s">
        <v>11</v>
      </c>
      <c r="E1864" s="11" t="s">
        <v>39</v>
      </c>
      <c r="F1864" s="12">
        <v>21.53</v>
      </c>
      <c r="G1864" s="12">
        <f>F1864-'Estatística'!$D$6/'Estatística'!$D$10</f>
        <v>20.52698037</v>
      </c>
      <c r="H1864" s="13">
        <v>45269.0</v>
      </c>
      <c r="I1864" s="14" t="str">
        <f t="shared" si="1"/>
        <v>dez.</v>
      </c>
      <c r="O1864" s="8"/>
    </row>
    <row r="1865" ht="15.75" customHeight="1">
      <c r="A1865" s="19">
        <v>100.0</v>
      </c>
      <c r="B1865" s="19" t="s">
        <v>48</v>
      </c>
      <c r="C1865" s="19" t="s">
        <v>49</v>
      </c>
      <c r="D1865" s="20" t="s">
        <v>30</v>
      </c>
      <c r="E1865" s="21" t="s">
        <v>97</v>
      </c>
      <c r="F1865" s="22">
        <v>2.05</v>
      </c>
      <c r="G1865" s="22">
        <f>F1865-'Estatística'!$D$6/'Estatística'!$D$10</f>
        <v>1.046980371</v>
      </c>
      <c r="H1865" s="23">
        <v>45269.0</v>
      </c>
      <c r="I1865" s="24" t="str">
        <f t="shared" si="1"/>
        <v>dez.</v>
      </c>
      <c r="O1865" s="8"/>
    </row>
    <row r="1866" ht="15.75" customHeight="1">
      <c r="A1866" s="9">
        <v>93.0</v>
      </c>
      <c r="B1866" s="9" t="s">
        <v>129</v>
      </c>
      <c r="C1866" s="9" t="s">
        <v>130</v>
      </c>
      <c r="D1866" s="10" t="s">
        <v>11</v>
      </c>
      <c r="E1866" s="11" t="s">
        <v>76</v>
      </c>
      <c r="F1866" s="12">
        <v>10.93</v>
      </c>
      <c r="G1866" s="12">
        <f>F1866-'Estatística'!$D$6/'Estatística'!$D$10</f>
        <v>9.926980371</v>
      </c>
      <c r="H1866" s="13">
        <v>45269.0</v>
      </c>
      <c r="I1866" s="14" t="str">
        <f t="shared" si="1"/>
        <v>dez.</v>
      </c>
      <c r="O1866" s="8"/>
    </row>
    <row r="1867" ht="15.75" customHeight="1">
      <c r="A1867" s="19">
        <v>33.0</v>
      </c>
      <c r="B1867" s="19" t="s">
        <v>191</v>
      </c>
      <c r="C1867" s="19" t="s">
        <v>192</v>
      </c>
      <c r="D1867" s="20" t="s">
        <v>11</v>
      </c>
      <c r="E1867" s="21" t="s">
        <v>39</v>
      </c>
      <c r="F1867" s="22">
        <v>27.63</v>
      </c>
      <c r="G1867" s="22">
        <f>F1867-'Estatística'!$D$6/'Estatística'!$D$10</f>
        <v>26.62698037</v>
      </c>
      <c r="H1867" s="23">
        <v>45269.0</v>
      </c>
      <c r="I1867" s="24" t="str">
        <f t="shared" si="1"/>
        <v>dez.</v>
      </c>
      <c r="O1867" s="8"/>
    </row>
    <row r="1868" ht="15.75" customHeight="1">
      <c r="A1868" s="9">
        <v>90.0</v>
      </c>
      <c r="B1868" s="9" t="s">
        <v>219</v>
      </c>
      <c r="C1868" s="9" t="s">
        <v>220</v>
      </c>
      <c r="D1868" s="10" t="s">
        <v>30</v>
      </c>
      <c r="E1868" s="11" t="s">
        <v>52</v>
      </c>
      <c r="F1868" s="12">
        <v>53.78</v>
      </c>
      <c r="G1868" s="12">
        <f>F1868-'Estatística'!$D$6/'Estatística'!$D$10</f>
        <v>52.77698037</v>
      </c>
      <c r="H1868" s="13">
        <v>45269.0</v>
      </c>
      <c r="I1868" s="14" t="str">
        <f t="shared" si="1"/>
        <v>dez.</v>
      </c>
      <c r="O1868" s="8"/>
    </row>
    <row r="1869" ht="15.75" customHeight="1">
      <c r="A1869" s="19">
        <v>2.0</v>
      </c>
      <c r="B1869" s="19" t="s">
        <v>83</v>
      </c>
      <c r="C1869" s="19" t="s">
        <v>84</v>
      </c>
      <c r="D1869" s="20" t="s">
        <v>30</v>
      </c>
      <c r="E1869" s="21" t="s">
        <v>50</v>
      </c>
      <c r="F1869" s="22">
        <v>28.15</v>
      </c>
      <c r="G1869" s="22">
        <f>F1869-'Estatística'!$D$6/'Estatística'!$D$10</f>
        <v>27.14698037</v>
      </c>
      <c r="H1869" s="23">
        <v>45270.0</v>
      </c>
      <c r="I1869" s="24" t="str">
        <f t="shared" si="1"/>
        <v>dez.</v>
      </c>
      <c r="O1869" s="8"/>
    </row>
    <row r="1870" ht="15.75" customHeight="1">
      <c r="A1870" s="9">
        <v>17.0</v>
      </c>
      <c r="B1870" s="9" t="s">
        <v>200</v>
      </c>
      <c r="C1870" s="9" t="s">
        <v>201</v>
      </c>
      <c r="D1870" s="10" t="s">
        <v>30</v>
      </c>
      <c r="E1870" s="11" t="s">
        <v>85</v>
      </c>
      <c r="F1870" s="12">
        <v>14.42</v>
      </c>
      <c r="G1870" s="12">
        <f>F1870-'Estatística'!$D$6/'Estatística'!$D$10</f>
        <v>13.41698037</v>
      </c>
      <c r="H1870" s="13">
        <v>45270.0</v>
      </c>
      <c r="I1870" s="14" t="str">
        <f t="shared" si="1"/>
        <v>dez.</v>
      </c>
      <c r="O1870" s="8"/>
    </row>
    <row r="1871" ht="15.75" customHeight="1">
      <c r="A1871" s="19">
        <v>95.0</v>
      </c>
      <c r="B1871" s="19" t="s">
        <v>110</v>
      </c>
      <c r="C1871" s="19" t="s">
        <v>111</v>
      </c>
      <c r="D1871" s="20" t="s">
        <v>30</v>
      </c>
      <c r="E1871" s="21" t="s">
        <v>50</v>
      </c>
      <c r="F1871" s="22">
        <v>31.15</v>
      </c>
      <c r="G1871" s="22">
        <f>F1871-'Estatística'!$D$6/'Estatística'!$D$10</f>
        <v>30.14698037</v>
      </c>
      <c r="H1871" s="23">
        <v>45270.0</v>
      </c>
      <c r="I1871" s="24" t="str">
        <f t="shared" si="1"/>
        <v>dez.</v>
      </c>
      <c r="O1871" s="8"/>
    </row>
    <row r="1872" ht="15.75" customHeight="1">
      <c r="A1872" s="9">
        <v>83.0</v>
      </c>
      <c r="B1872" s="9" t="s">
        <v>98</v>
      </c>
      <c r="C1872" s="9" t="s">
        <v>99</v>
      </c>
      <c r="D1872" s="10" t="s">
        <v>11</v>
      </c>
      <c r="E1872" s="11" t="s">
        <v>31</v>
      </c>
      <c r="F1872" s="12">
        <v>42.9</v>
      </c>
      <c r="G1872" s="12">
        <f>F1872-'Estatística'!$D$6/'Estatística'!$D$10</f>
        <v>41.89698037</v>
      </c>
      <c r="H1872" s="13">
        <v>45270.0</v>
      </c>
      <c r="I1872" s="14" t="str">
        <f t="shared" si="1"/>
        <v>dez.</v>
      </c>
      <c r="O1872" s="8"/>
    </row>
    <row r="1873" ht="15.75" customHeight="1">
      <c r="A1873" s="19">
        <v>91.0</v>
      </c>
      <c r="B1873" s="19" t="s">
        <v>112</v>
      </c>
      <c r="C1873" s="19" t="s">
        <v>113</v>
      </c>
      <c r="D1873" s="20" t="s">
        <v>30</v>
      </c>
      <c r="E1873" s="21" t="s">
        <v>79</v>
      </c>
      <c r="F1873" s="22">
        <v>37.38</v>
      </c>
      <c r="G1873" s="22">
        <f>F1873-'Estatística'!$D$6/'Estatística'!$D$10</f>
        <v>36.37698037</v>
      </c>
      <c r="H1873" s="23">
        <v>45270.0</v>
      </c>
      <c r="I1873" s="24" t="str">
        <f t="shared" si="1"/>
        <v>dez.</v>
      </c>
      <c r="O1873" s="8"/>
    </row>
    <row r="1874" ht="15.75" customHeight="1">
      <c r="A1874" s="9">
        <v>66.0</v>
      </c>
      <c r="B1874" s="9" t="s">
        <v>150</v>
      </c>
      <c r="C1874" s="9" t="s">
        <v>158</v>
      </c>
      <c r="D1874" s="10" t="s">
        <v>11</v>
      </c>
      <c r="E1874" s="11" t="s">
        <v>46</v>
      </c>
      <c r="F1874" s="12">
        <v>14.78</v>
      </c>
      <c r="G1874" s="12">
        <f>F1874-'Estatística'!$D$6/'Estatística'!$D$10</f>
        <v>13.77698037</v>
      </c>
      <c r="H1874" s="13">
        <v>45270.0</v>
      </c>
      <c r="I1874" s="14" t="str">
        <f t="shared" si="1"/>
        <v>dez.</v>
      </c>
      <c r="O1874" s="8"/>
    </row>
    <row r="1875" ht="15.75" customHeight="1">
      <c r="A1875" s="19">
        <v>27.0</v>
      </c>
      <c r="B1875" s="19" t="s">
        <v>173</v>
      </c>
      <c r="C1875" s="19" t="s">
        <v>174</v>
      </c>
      <c r="D1875" s="20" t="s">
        <v>11</v>
      </c>
      <c r="E1875" s="21" t="s">
        <v>88</v>
      </c>
      <c r="F1875" s="22">
        <v>32.67</v>
      </c>
      <c r="G1875" s="22">
        <f>F1875-'Estatística'!$D$6/'Estatística'!$D$10</f>
        <v>31.66698037</v>
      </c>
      <c r="H1875" s="23">
        <v>45270.0</v>
      </c>
      <c r="I1875" s="24" t="str">
        <f t="shared" si="1"/>
        <v>dez.</v>
      </c>
      <c r="O1875" s="8"/>
    </row>
    <row r="1876" ht="15.75" customHeight="1">
      <c r="A1876" s="9">
        <v>78.0</v>
      </c>
      <c r="B1876" s="9" t="s">
        <v>28</v>
      </c>
      <c r="C1876" s="9" t="s">
        <v>29</v>
      </c>
      <c r="D1876" s="10" t="s">
        <v>11</v>
      </c>
      <c r="E1876" s="11" t="s">
        <v>91</v>
      </c>
      <c r="F1876" s="12">
        <v>2.93</v>
      </c>
      <c r="G1876" s="12">
        <f>F1876-'Estatística'!$D$6/'Estatística'!$D$10</f>
        <v>1.926980371</v>
      </c>
      <c r="H1876" s="13">
        <v>45270.0</v>
      </c>
      <c r="I1876" s="14" t="str">
        <f t="shared" si="1"/>
        <v>dez.</v>
      </c>
      <c r="O1876" s="8"/>
    </row>
    <row r="1877" ht="15.75" customHeight="1">
      <c r="A1877" s="19">
        <v>49.0</v>
      </c>
      <c r="B1877" s="19" t="s">
        <v>179</v>
      </c>
      <c r="C1877" s="19" t="s">
        <v>180</v>
      </c>
      <c r="D1877" s="20" t="s">
        <v>30</v>
      </c>
      <c r="E1877" s="21" t="s">
        <v>56</v>
      </c>
      <c r="F1877" s="22">
        <v>68.85</v>
      </c>
      <c r="G1877" s="22">
        <f>F1877-'Estatística'!$D$6/'Estatística'!$D$10</f>
        <v>67.84698037</v>
      </c>
      <c r="H1877" s="23">
        <v>45270.0</v>
      </c>
      <c r="I1877" s="24" t="str">
        <f t="shared" si="1"/>
        <v>dez.</v>
      </c>
      <c r="O1877" s="8"/>
    </row>
    <row r="1878" ht="15.75" customHeight="1">
      <c r="A1878" s="9">
        <v>58.0</v>
      </c>
      <c r="B1878" s="9" t="s">
        <v>165</v>
      </c>
      <c r="C1878" s="9" t="s">
        <v>166</v>
      </c>
      <c r="D1878" s="10" t="s">
        <v>11</v>
      </c>
      <c r="E1878" s="11" t="s">
        <v>12</v>
      </c>
      <c r="F1878" s="12">
        <v>10.32</v>
      </c>
      <c r="G1878" s="12">
        <f>F1878-'Estatística'!$D$6/'Estatística'!$D$10</f>
        <v>9.316980371</v>
      </c>
      <c r="H1878" s="13">
        <v>45270.0</v>
      </c>
      <c r="I1878" s="14" t="str">
        <f t="shared" si="1"/>
        <v>dez.</v>
      </c>
      <c r="O1878" s="8"/>
    </row>
    <row r="1879" ht="15.75" customHeight="1">
      <c r="A1879" s="19">
        <v>24.0</v>
      </c>
      <c r="B1879" s="19" t="s">
        <v>139</v>
      </c>
      <c r="C1879" s="19" t="s">
        <v>140</v>
      </c>
      <c r="D1879" s="20" t="s">
        <v>11</v>
      </c>
      <c r="E1879" s="21" t="s">
        <v>56</v>
      </c>
      <c r="F1879" s="22">
        <v>59.32</v>
      </c>
      <c r="G1879" s="22">
        <f>F1879-'Estatística'!$D$6/'Estatística'!$D$10</f>
        <v>58.31698037</v>
      </c>
      <c r="H1879" s="23">
        <v>45271.0</v>
      </c>
      <c r="I1879" s="24" t="str">
        <f t="shared" si="1"/>
        <v>dez.</v>
      </c>
      <c r="O1879" s="8"/>
    </row>
    <row r="1880" ht="15.75" customHeight="1">
      <c r="A1880" s="9">
        <v>24.0</v>
      </c>
      <c r="B1880" s="9" t="s">
        <v>139</v>
      </c>
      <c r="C1880" s="9" t="s">
        <v>140</v>
      </c>
      <c r="D1880" s="10" t="s">
        <v>30</v>
      </c>
      <c r="E1880" s="11" t="s">
        <v>85</v>
      </c>
      <c r="F1880" s="12">
        <v>14.0</v>
      </c>
      <c r="G1880" s="12">
        <f>F1880-'Estatística'!$D$6/'Estatística'!$D$10</f>
        <v>12.99698037</v>
      </c>
      <c r="H1880" s="13">
        <v>45271.0</v>
      </c>
      <c r="I1880" s="14" t="str">
        <f t="shared" si="1"/>
        <v>dez.</v>
      </c>
      <c r="O1880" s="8"/>
    </row>
    <row r="1881" ht="15.75" customHeight="1">
      <c r="A1881" s="19">
        <v>64.0</v>
      </c>
      <c r="B1881" s="19" t="s">
        <v>159</v>
      </c>
      <c r="C1881" s="19" t="s">
        <v>160</v>
      </c>
      <c r="D1881" s="20" t="s">
        <v>30</v>
      </c>
      <c r="E1881" s="21" t="s">
        <v>94</v>
      </c>
      <c r="F1881" s="22">
        <v>31.46</v>
      </c>
      <c r="G1881" s="22">
        <f>F1881-'Estatística'!$D$6/'Estatística'!$D$10</f>
        <v>30.45698037</v>
      </c>
      <c r="H1881" s="23">
        <v>45271.0</v>
      </c>
      <c r="I1881" s="24" t="str">
        <f t="shared" si="1"/>
        <v>dez.</v>
      </c>
      <c r="O1881" s="8"/>
    </row>
    <row r="1882" ht="15.75" customHeight="1">
      <c r="A1882" s="9">
        <v>92.0</v>
      </c>
      <c r="B1882" s="9" t="s">
        <v>112</v>
      </c>
      <c r="C1882" s="9" t="s">
        <v>197</v>
      </c>
      <c r="D1882" s="10" t="s">
        <v>30</v>
      </c>
      <c r="E1882" s="11" t="s">
        <v>94</v>
      </c>
      <c r="F1882" s="12">
        <v>27.35</v>
      </c>
      <c r="G1882" s="12">
        <f>F1882-'Estatística'!$D$6/'Estatística'!$D$10</f>
        <v>26.34698037</v>
      </c>
      <c r="H1882" s="13">
        <v>45271.0</v>
      </c>
      <c r="I1882" s="14" t="str">
        <f t="shared" si="1"/>
        <v>dez.</v>
      </c>
      <c r="O1882" s="8"/>
    </row>
    <row r="1883" ht="15.75" customHeight="1">
      <c r="A1883" s="19">
        <v>65.0</v>
      </c>
      <c r="B1883" s="19" t="s">
        <v>209</v>
      </c>
      <c r="C1883" s="19" t="s">
        <v>210</v>
      </c>
      <c r="D1883" s="20" t="s">
        <v>30</v>
      </c>
      <c r="E1883" s="21" t="s">
        <v>50</v>
      </c>
      <c r="F1883" s="22">
        <v>27.32</v>
      </c>
      <c r="G1883" s="22">
        <f>F1883-'Estatística'!$D$6/'Estatística'!$D$10</f>
        <v>26.31698037</v>
      </c>
      <c r="H1883" s="23">
        <v>45271.0</v>
      </c>
      <c r="I1883" s="24" t="str">
        <f t="shared" si="1"/>
        <v>dez.</v>
      </c>
      <c r="O1883" s="8"/>
    </row>
    <row r="1884" ht="15.75" customHeight="1">
      <c r="A1884" s="9">
        <v>23.0</v>
      </c>
      <c r="B1884" s="9" t="s">
        <v>235</v>
      </c>
      <c r="C1884" s="9" t="s">
        <v>236</v>
      </c>
      <c r="D1884" s="10" t="s">
        <v>30</v>
      </c>
      <c r="E1884" s="11" t="s">
        <v>72</v>
      </c>
      <c r="F1884" s="12">
        <v>24.93</v>
      </c>
      <c r="G1884" s="12">
        <f>F1884-'Estatística'!$D$6/'Estatística'!$D$10</f>
        <v>23.92698037</v>
      </c>
      <c r="H1884" s="13">
        <v>45271.0</v>
      </c>
      <c r="I1884" s="14" t="str">
        <f t="shared" si="1"/>
        <v>dez.</v>
      </c>
      <c r="O1884" s="8"/>
    </row>
    <row r="1885" ht="15.75" customHeight="1">
      <c r="A1885" s="19">
        <v>78.0</v>
      </c>
      <c r="B1885" s="19" t="s">
        <v>28</v>
      </c>
      <c r="C1885" s="19" t="s">
        <v>29</v>
      </c>
      <c r="D1885" s="20" t="s">
        <v>11</v>
      </c>
      <c r="E1885" s="21" t="s">
        <v>85</v>
      </c>
      <c r="F1885" s="22">
        <v>16.89</v>
      </c>
      <c r="G1885" s="22">
        <f>F1885-'Estatística'!$D$6/'Estatística'!$D$10</f>
        <v>15.88698037</v>
      </c>
      <c r="H1885" s="23">
        <v>45271.0</v>
      </c>
      <c r="I1885" s="24" t="str">
        <f t="shared" si="1"/>
        <v>dez.</v>
      </c>
      <c r="O1885" s="8"/>
    </row>
    <row r="1886" ht="15.75" customHeight="1">
      <c r="A1886" s="9">
        <v>29.0</v>
      </c>
      <c r="B1886" s="9" t="s">
        <v>122</v>
      </c>
      <c r="C1886" s="9" t="s">
        <v>123</v>
      </c>
      <c r="D1886" s="10" t="s">
        <v>30</v>
      </c>
      <c r="E1886" s="11" t="s">
        <v>68</v>
      </c>
      <c r="F1886" s="12">
        <v>14.71</v>
      </c>
      <c r="G1886" s="12">
        <f>F1886-'Estatística'!$D$6/'Estatística'!$D$10</f>
        <v>13.70698037</v>
      </c>
      <c r="H1886" s="13">
        <v>45272.0</v>
      </c>
      <c r="I1886" s="14" t="str">
        <f t="shared" si="1"/>
        <v>dez.</v>
      </c>
      <c r="O1886" s="8"/>
    </row>
    <row r="1887" ht="15.75" customHeight="1">
      <c r="A1887" s="19">
        <v>78.0</v>
      </c>
      <c r="B1887" s="19" t="s">
        <v>28</v>
      </c>
      <c r="C1887" s="19" t="s">
        <v>29</v>
      </c>
      <c r="D1887" s="20" t="s">
        <v>11</v>
      </c>
      <c r="E1887" s="21" t="s">
        <v>46</v>
      </c>
      <c r="F1887" s="22">
        <v>14.96</v>
      </c>
      <c r="G1887" s="22">
        <f>F1887-'Estatística'!$D$6/'Estatística'!$D$10</f>
        <v>13.95698037</v>
      </c>
      <c r="H1887" s="23">
        <v>45272.0</v>
      </c>
      <c r="I1887" s="24" t="str">
        <f t="shared" si="1"/>
        <v>dez.</v>
      </c>
      <c r="O1887" s="8"/>
    </row>
    <row r="1888" ht="15.75" customHeight="1">
      <c r="A1888" s="9">
        <v>76.0</v>
      </c>
      <c r="B1888" s="9" t="s">
        <v>213</v>
      </c>
      <c r="C1888" s="9" t="s">
        <v>214</v>
      </c>
      <c r="D1888" s="10" t="s">
        <v>30</v>
      </c>
      <c r="E1888" s="11" t="s">
        <v>76</v>
      </c>
      <c r="F1888" s="12">
        <v>11.71</v>
      </c>
      <c r="G1888" s="12">
        <f>F1888-'Estatística'!$D$6/'Estatística'!$D$10</f>
        <v>10.70698037</v>
      </c>
      <c r="H1888" s="13">
        <v>45272.0</v>
      </c>
      <c r="I1888" s="14" t="str">
        <f t="shared" si="1"/>
        <v>dez.</v>
      </c>
      <c r="O1888" s="8"/>
    </row>
    <row r="1889" ht="15.75" customHeight="1">
      <c r="A1889" s="19">
        <v>17.0</v>
      </c>
      <c r="B1889" s="19" t="s">
        <v>200</v>
      </c>
      <c r="C1889" s="19" t="s">
        <v>201</v>
      </c>
      <c r="D1889" s="20" t="s">
        <v>11</v>
      </c>
      <c r="E1889" s="21" t="s">
        <v>79</v>
      </c>
      <c r="F1889" s="22">
        <v>26.62</v>
      </c>
      <c r="G1889" s="22">
        <f>F1889-'Estatística'!$D$6/'Estatística'!$D$10</f>
        <v>25.61698037</v>
      </c>
      <c r="H1889" s="23">
        <v>45272.0</v>
      </c>
      <c r="I1889" s="24" t="str">
        <f t="shared" si="1"/>
        <v>dez.</v>
      </c>
      <c r="O1889" s="8"/>
    </row>
    <row r="1890" ht="15.75" customHeight="1">
      <c r="A1890" s="9">
        <v>47.0</v>
      </c>
      <c r="B1890" s="9" t="s">
        <v>120</v>
      </c>
      <c r="C1890" s="9" t="s">
        <v>121</v>
      </c>
      <c r="D1890" s="10" t="s">
        <v>11</v>
      </c>
      <c r="E1890" s="11" t="s">
        <v>46</v>
      </c>
      <c r="F1890" s="12">
        <v>14.78</v>
      </c>
      <c r="G1890" s="12">
        <f>F1890-'Estatística'!$D$6/'Estatística'!$D$10</f>
        <v>13.77698037</v>
      </c>
      <c r="H1890" s="13">
        <v>45272.0</v>
      </c>
      <c r="I1890" s="14" t="str">
        <f t="shared" si="1"/>
        <v>dez.</v>
      </c>
      <c r="O1890" s="8"/>
    </row>
    <row r="1891" ht="15.75" customHeight="1">
      <c r="A1891" s="19">
        <v>45.0</v>
      </c>
      <c r="B1891" s="19" t="s">
        <v>221</v>
      </c>
      <c r="C1891" s="19" t="s">
        <v>222</v>
      </c>
      <c r="D1891" s="20" t="s">
        <v>11</v>
      </c>
      <c r="E1891" s="21" t="s">
        <v>82</v>
      </c>
      <c r="F1891" s="22">
        <v>10.99</v>
      </c>
      <c r="G1891" s="22">
        <f>F1891-'Estatística'!$D$6/'Estatística'!$D$10</f>
        <v>9.986980371</v>
      </c>
      <c r="H1891" s="23">
        <v>45272.0</v>
      </c>
      <c r="I1891" s="24" t="str">
        <f t="shared" si="1"/>
        <v>dez.</v>
      </c>
      <c r="O1891" s="8"/>
    </row>
    <row r="1892" ht="15.75" customHeight="1">
      <c r="A1892" s="9">
        <v>23.0</v>
      </c>
      <c r="B1892" s="9" t="s">
        <v>235</v>
      </c>
      <c r="C1892" s="9" t="s">
        <v>236</v>
      </c>
      <c r="D1892" s="10" t="s">
        <v>30</v>
      </c>
      <c r="E1892" s="11" t="s">
        <v>85</v>
      </c>
      <c r="F1892" s="12">
        <v>14.26</v>
      </c>
      <c r="G1892" s="12">
        <f>F1892-'Estatística'!$D$6/'Estatística'!$D$10</f>
        <v>13.25698037</v>
      </c>
      <c r="H1892" s="13">
        <v>45272.0</v>
      </c>
      <c r="I1892" s="14" t="str">
        <f t="shared" si="1"/>
        <v>dez.</v>
      </c>
      <c r="O1892" s="8"/>
    </row>
    <row r="1893" ht="15.75" customHeight="1">
      <c r="A1893" s="19">
        <v>92.0</v>
      </c>
      <c r="B1893" s="19" t="s">
        <v>112</v>
      </c>
      <c r="C1893" s="19" t="s">
        <v>197</v>
      </c>
      <c r="D1893" s="20" t="s">
        <v>30</v>
      </c>
      <c r="E1893" s="21" t="s">
        <v>94</v>
      </c>
      <c r="F1893" s="22">
        <v>25.34</v>
      </c>
      <c r="G1893" s="22">
        <f>F1893-'Estatística'!$D$6/'Estatística'!$D$10</f>
        <v>24.33698037</v>
      </c>
      <c r="H1893" s="23">
        <v>45272.0</v>
      </c>
      <c r="I1893" s="24" t="str">
        <f t="shared" si="1"/>
        <v>dez.</v>
      </c>
      <c r="O1893" s="8"/>
    </row>
    <row r="1894" ht="15.75" customHeight="1">
      <c r="A1894" s="9">
        <v>43.0</v>
      </c>
      <c r="B1894" s="9" t="s">
        <v>95</v>
      </c>
      <c r="C1894" s="9" t="s">
        <v>96</v>
      </c>
      <c r="D1894" s="10" t="s">
        <v>11</v>
      </c>
      <c r="E1894" s="11" t="s">
        <v>97</v>
      </c>
      <c r="F1894" s="12">
        <v>5.36</v>
      </c>
      <c r="G1894" s="12">
        <f>F1894-'Estatística'!$D$6/'Estatística'!$D$10</f>
        <v>4.356980371</v>
      </c>
      <c r="H1894" s="13">
        <v>45272.0</v>
      </c>
      <c r="I1894" s="14" t="str">
        <f t="shared" si="1"/>
        <v>dez.</v>
      </c>
      <c r="O1894" s="8"/>
    </row>
    <row r="1895" ht="15.75" customHeight="1">
      <c r="A1895" s="19">
        <v>51.0</v>
      </c>
      <c r="B1895" s="19" t="s">
        <v>233</v>
      </c>
      <c r="C1895" s="19" t="s">
        <v>234</v>
      </c>
      <c r="D1895" s="20" t="s">
        <v>11</v>
      </c>
      <c r="E1895" s="21" t="s">
        <v>60</v>
      </c>
      <c r="F1895" s="22">
        <v>52.79</v>
      </c>
      <c r="G1895" s="22">
        <f>F1895-'Estatística'!$D$6/'Estatística'!$D$10</f>
        <v>51.78698037</v>
      </c>
      <c r="H1895" s="23">
        <v>45272.0</v>
      </c>
      <c r="I1895" s="24" t="str">
        <f t="shared" si="1"/>
        <v>dez.</v>
      </c>
      <c r="O1895" s="8"/>
    </row>
    <row r="1896" ht="15.75" customHeight="1">
      <c r="A1896" s="9">
        <v>14.0</v>
      </c>
      <c r="B1896" s="9" t="s">
        <v>171</v>
      </c>
      <c r="C1896" s="9" t="s">
        <v>172</v>
      </c>
      <c r="D1896" s="10" t="s">
        <v>30</v>
      </c>
      <c r="E1896" s="11" t="s">
        <v>82</v>
      </c>
      <c r="F1896" s="12">
        <v>12.26</v>
      </c>
      <c r="G1896" s="12">
        <f>F1896-'Estatística'!$D$6/'Estatística'!$D$10</f>
        <v>11.25698037</v>
      </c>
      <c r="H1896" s="13">
        <v>45273.0</v>
      </c>
      <c r="I1896" s="14" t="str">
        <f t="shared" si="1"/>
        <v>dez.</v>
      </c>
      <c r="O1896" s="8"/>
    </row>
    <row r="1897" ht="15.75" customHeight="1">
      <c r="A1897" s="19">
        <v>14.0</v>
      </c>
      <c r="B1897" s="19" t="s">
        <v>171</v>
      </c>
      <c r="C1897" s="19" t="s">
        <v>172</v>
      </c>
      <c r="D1897" s="20" t="s">
        <v>11</v>
      </c>
      <c r="E1897" s="21" t="s">
        <v>94</v>
      </c>
      <c r="F1897" s="22">
        <v>26.01</v>
      </c>
      <c r="G1897" s="22">
        <f>F1897-'Estatística'!$D$6/'Estatística'!$D$10</f>
        <v>25.00698037</v>
      </c>
      <c r="H1897" s="23">
        <v>45273.0</v>
      </c>
      <c r="I1897" s="24" t="str">
        <f t="shared" si="1"/>
        <v>dez.</v>
      </c>
      <c r="O1897" s="8"/>
    </row>
    <row r="1898" ht="15.75" customHeight="1">
      <c r="A1898" s="9">
        <v>64.0</v>
      </c>
      <c r="B1898" s="9" t="s">
        <v>159</v>
      </c>
      <c r="C1898" s="9" t="s">
        <v>160</v>
      </c>
      <c r="D1898" s="10" t="s">
        <v>30</v>
      </c>
      <c r="E1898" s="11" t="s">
        <v>76</v>
      </c>
      <c r="F1898" s="12">
        <v>11.81</v>
      </c>
      <c r="G1898" s="12">
        <f>F1898-'Estatística'!$D$6/'Estatística'!$D$10</f>
        <v>10.80698037</v>
      </c>
      <c r="H1898" s="13">
        <v>45273.0</v>
      </c>
      <c r="I1898" s="14" t="str">
        <f t="shared" si="1"/>
        <v>dez.</v>
      </c>
      <c r="O1898" s="8"/>
    </row>
    <row r="1899" ht="15.75" customHeight="1">
      <c r="A1899" s="19">
        <v>67.0</v>
      </c>
      <c r="B1899" s="19" t="s">
        <v>204</v>
      </c>
      <c r="C1899" s="19" t="s">
        <v>205</v>
      </c>
      <c r="D1899" s="20" t="s">
        <v>30</v>
      </c>
      <c r="E1899" s="21" t="s">
        <v>50</v>
      </c>
      <c r="F1899" s="22">
        <v>33.32</v>
      </c>
      <c r="G1899" s="22">
        <f>F1899-'Estatística'!$D$6/'Estatística'!$D$10</f>
        <v>32.31698037</v>
      </c>
      <c r="H1899" s="23">
        <v>45273.0</v>
      </c>
      <c r="I1899" s="24" t="str">
        <f t="shared" si="1"/>
        <v>dez.</v>
      </c>
      <c r="O1899" s="8"/>
    </row>
    <row r="1900" ht="15.75" customHeight="1">
      <c r="A1900" s="9">
        <v>60.0</v>
      </c>
      <c r="B1900" s="9" t="s">
        <v>65</v>
      </c>
      <c r="C1900" s="9" t="s">
        <v>66</v>
      </c>
      <c r="D1900" s="10" t="s">
        <v>11</v>
      </c>
      <c r="E1900" s="11" t="s">
        <v>35</v>
      </c>
      <c r="F1900" s="12">
        <v>12.13</v>
      </c>
      <c r="G1900" s="12">
        <f>F1900-'Estatística'!$D$6/'Estatística'!$D$10</f>
        <v>11.12698037</v>
      </c>
      <c r="H1900" s="13">
        <v>45273.0</v>
      </c>
      <c r="I1900" s="14" t="str">
        <f t="shared" si="1"/>
        <v>dez.</v>
      </c>
      <c r="O1900" s="8"/>
    </row>
    <row r="1901" ht="15.75" customHeight="1">
      <c r="A1901" s="19">
        <v>100.0</v>
      </c>
      <c r="B1901" s="19" t="s">
        <v>48</v>
      </c>
      <c r="C1901" s="19" t="s">
        <v>49</v>
      </c>
      <c r="D1901" s="20" t="s">
        <v>11</v>
      </c>
      <c r="E1901" s="21" t="s">
        <v>82</v>
      </c>
      <c r="F1901" s="22">
        <v>13.22</v>
      </c>
      <c r="G1901" s="22">
        <f>F1901-'Estatística'!$D$6/'Estatística'!$D$10</f>
        <v>12.21698037</v>
      </c>
      <c r="H1901" s="23">
        <v>45273.0</v>
      </c>
      <c r="I1901" s="24" t="str">
        <f t="shared" si="1"/>
        <v>dez.</v>
      </c>
      <c r="O1901" s="8"/>
    </row>
    <row r="1902" ht="15.75" customHeight="1">
      <c r="A1902" s="9">
        <v>68.0</v>
      </c>
      <c r="B1902" s="9" t="s">
        <v>41</v>
      </c>
      <c r="C1902" s="9" t="s">
        <v>42</v>
      </c>
      <c r="D1902" s="10" t="s">
        <v>30</v>
      </c>
      <c r="E1902" s="11" t="s">
        <v>68</v>
      </c>
      <c r="F1902" s="12">
        <v>10.24</v>
      </c>
      <c r="G1902" s="12">
        <f>F1902-'Estatística'!$D$6/'Estatística'!$D$10</f>
        <v>9.236980371</v>
      </c>
      <c r="H1902" s="13">
        <v>45274.0</v>
      </c>
      <c r="I1902" s="14" t="str">
        <f t="shared" si="1"/>
        <v>dez.</v>
      </c>
      <c r="O1902" s="8"/>
    </row>
    <row r="1903" ht="15.75" customHeight="1">
      <c r="A1903" s="19">
        <v>5.0</v>
      </c>
      <c r="B1903" s="19" t="s">
        <v>167</v>
      </c>
      <c r="C1903" s="19" t="s">
        <v>168</v>
      </c>
      <c r="D1903" s="20" t="s">
        <v>11</v>
      </c>
      <c r="E1903" s="21" t="s">
        <v>12</v>
      </c>
      <c r="F1903" s="22">
        <v>10.26</v>
      </c>
      <c r="G1903" s="22">
        <f>F1903-'Estatística'!$D$6/'Estatística'!$D$10</f>
        <v>9.256980371</v>
      </c>
      <c r="H1903" s="23">
        <v>45274.0</v>
      </c>
      <c r="I1903" s="24" t="str">
        <f t="shared" si="1"/>
        <v>dez.</v>
      </c>
      <c r="O1903" s="8"/>
    </row>
    <row r="1904" ht="15.75" customHeight="1">
      <c r="A1904" s="9">
        <v>57.0</v>
      </c>
      <c r="B1904" s="9" t="s">
        <v>92</v>
      </c>
      <c r="C1904" s="9" t="s">
        <v>190</v>
      </c>
      <c r="D1904" s="10" t="s">
        <v>30</v>
      </c>
      <c r="E1904" s="11" t="s">
        <v>94</v>
      </c>
      <c r="F1904" s="12">
        <v>27.19</v>
      </c>
      <c r="G1904" s="12">
        <f>F1904-'Estatística'!$D$6/'Estatística'!$D$10</f>
        <v>26.18698037</v>
      </c>
      <c r="H1904" s="13">
        <v>45274.0</v>
      </c>
      <c r="I1904" s="14" t="str">
        <f t="shared" si="1"/>
        <v>dez.</v>
      </c>
      <c r="O1904" s="8"/>
    </row>
    <row r="1905" ht="15.75" customHeight="1">
      <c r="A1905" s="19">
        <v>67.0</v>
      </c>
      <c r="B1905" s="19" t="s">
        <v>204</v>
      </c>
      <c r="C1905" s="19" t="s">
        <v>205</v>
      </c>
      <c r="D1905" s="20" t="s">
        <v>30</v>
      </c>
      <c r="E1905" s="21" t="s">
        <v>68</v>
      </c>
      <c r="F1905" s="22">
        <v>15.24</v>
      </c>
      <c r="G1905" s="22">
        <f>F1905-'Estatística'!$D$6/'Estatística'!$D$10</f>
        <v>14.23698037</v>
      </c>
      <c r="H1905" s="23">
        <v>45275.0</v>
      </c>
      <c r="I1905" s="24" t="str">
        <f t="shared" si="1"/>
        <v>dez.</v>
      </c>
      <c r="O1905" s="8"/>
    </row>
    <row r="1906" ht="15.75" customHeight="1">
      <c r="A1906" s="9">
        <v>12.0</v>
      </c>
      <c r="B1906" s="9" t="s">
        <v>188</v>
      </c>
      <c r="C1906" s="9" t="s">
        <v>189</v>
      </c>
      <c r="D1906" s="10" t="s">
        <v>30</v>
      </c>
      <c r="E1906" s="11" t="s">
        <v>50</v>
      </c>
      <c r="F1906" s="12">
        <v>27.42</v>
      </c>
      <c r="G1906" s="12">
        <f>F1906-'Estatística'!$D$6/'Estatística'!$D$10</f>
        <v>26.41698037</v>
      </c>
      <c r="H1906" s="13">
        <v>45275.0</v>
      </c>
      <c r="I1906" s="14" t="str">
        <f t="shared" si="1"/>
        <v>dez.</v>
      </c>
      <c r="O1906" s="8"/>
    </row>
    <row r="1907" ht="15.75" customHeight="1">
      <c r="A1907" s="19">
        <v>33.0</v>
      </c>
      <c r="B1907" s="19" t="s">
        <v>191</v>
      </c>
      <c r="C1907" s="19" t="s">
        <v>192</v>
      </c>
      <c r="D1907" s="20" t="s">
        <v>11</v>
      </c>
      <c r="E1907" s="21" t="s">
        <v>94</v>
      </c>
      <c r="F1907" s="22">
        <v>29.78</v>
      </c>
      <c r="G1907" s="22">
        <f>F1907-'Estatística'!$D$6/'Estatística'!$D$10</f>
        <v>28.77698037</v>
      </c>
      <c r="H1907" s="23">
        <v>45275.0</v>
      </c>
      <c r="I1907" s="24" t="str">
        <f t="shared" si="1"/>
        <v>dez.</v>
      </c>
      <c r="O1907" s="8"/>
    </row>
    <row r="1908" ht="15.75" customHeight="1">
      <c r="A1908" s="9">
        <v>90.0</v>
      </c>
      <c r="B1908" s="9" t="s">
        <v>219</v>
      </c>
      <c r="C1908" s="9" t="s">
        <v>220</v>
      </c>
      <c r="D1908" s="10" t="s">
        <v>11</v>
      </c>
      <c r="E1908" s="11" t="s">
        <v>82</v>
      </c>
      <c r="F1908" s="12">
        <v>10.44</v>
      </c>
      <c r="G1908" s="12">
        <f>F1908-'Estatística'!$D$6/'Estatística'!$D$10</f>
        <v>9.436980371</v>
      </c>
      <c r="H1908" s="13">
        <v>45275.0</v>
      </c>
      <c r="I1908" s="14" t="str">
        <f t="shared" si="1"/>
        <v>dez.</v>
      </c>
      <c r="O1908" s="8"/>
    </row>
    <row r="1909" ht="15.75" customHeight="1">
      <c r="A1909" s="19">
        <v>97.0</v>
      </c>
      <c r="B1909" s="19" t="s">
        <v>69</v>
      </c>
      <c r="C1909" s="19" t="s">
        <v>70</v>
      </c>
      <c r="D1909" s="20" t="s">
        <v>11</v>
      </c>
      <c r="E1909" s="21" t="s">
        <v>46</v>
      </c>
      <c r="F1909" s="22">
        <v>12.13</v>
      </c>
      <c r="G1909" s="22">
        <f>F1909-'Estatística'!$D$6/'Estatística'!$D$10</f>
        <v>11.12698037</v>
      </c>
      <c r="H1909" s="23">
        <v>45275.0</v>
      </c>
      <c r="I1909" s="24" t="str">
        <f t="shared" si="1"/>
        <v>dez.</v>
      </c>
      <c r="O1909" s="8"/>
    </row>
    <row r="1910" ht="15.75" customHeight="1">
      <c r="A1910" s="9">
        <v>31.0</v>
      </c>
      <c r="B1910" s="9" t="s">
        <v>229</v>
      </c>
      <c r="C1910" s="9" t="s">
        <v>230</v>
      </c>
      <c r="D1910" s="10" t="s">
        <v>11</v>
      </c>
      <c r="E1910" s="11" t="s">
        <v>76</v>
      </c>
      <c r="F1910" s="12">
        <v>11.64</v>
      </c>
      <c r="G1910" s="12">
        <f>F1910-'Estatística'!$D$6/'Estatística'!$D$10</f>
        <v>10.63698037</v>
      </c>
      <c r="H1910" s="13">
        <v>45275.0</v>
      </c>
      <c r="I1910" s="14" t="str">
        <f t="shared" si="1"/>
        <v>dez.</v>
      </c>
      <c r="O1910" s="8"/>
    </row>
    <row r="1911" ht="15.75" customHeight="1">
      <c r="A1911" s="19">
        <v>33.0</v>
      </c>
      <c r="B1911" s="19" t="s">
        <v>191</v>
      </c>
      <c r="C1911" s="19" t="s">
        <v>192</v>
      </c>
      <c r="D1911" s="20" t="s">
        <v>30</v>
      </c>
      <c r="E1911" s="21" t="s">
        <v>76</v>
      </c>
      <c r="F1911" s="22">
        <v>11.45</v>
      </c>
      <c r="G1911" s="22">
        <f>F1911-'Estatística'!$D$6/'Estatística'!$D$10</f>
        <v>10.44698037</v>
      </c>
      <c r="H1911" s="23">
        <v>45275.0</v>
      </c>
      <c r="I1911" s="24" t="str">
        <f t="shared" si="1"/>
        <v>dez.</v>
      </c>
      <c r="O1911" s="8"/>
    </row>
    <row r="1912" ht="15.75" customHeight="1">
      <c r="A1912" s="9">
        <v>50.0</v>
      </c>
      <c r="B1912" s="9" t="s">
        <v>33</v>
      </c>
      <c r="C1912" s="9" t="s">
        <v>34</v>
      </c>
      <c r="D1912" s="10" t="s">
        <v>11</v>
      </c>
      <c r="E1912" s="11" t="s">
        <v>35</v>
      </c>
      <c r="F1912" s="12">
        <v>20.23</v>
      </c>
      <c r="G1912" s="12">
        <f>F1912-'Estatística'!$D$6/'Estatística'!$D$10</f>
        <v>19.22698037</v>
      </c>
      <c r="H1912" s="13">
        <v>45276.0</v>
      </c>
      <c r="I1912" s="14" t="str">
        <f t="shared" si="1"/>
        <v>dez.</v>
      </c>
      <c r="O1912" s="8"/>
    </row>
    <row r="1913" ht="15.75" customHeight="1">
      <c r="A1913" s="19">
        <v>76.0</v>
      </c>
      <c r="B1913" s="19" t="s">
        <v>213</v>
      </c>
      <c r="C1913" s="19" t="s">
        <v>214</v>
      </c>
      <c r="D1913" s="20" t="s">
        <v>30</v>
      </c>
      <c r="E1913" s="21" t="s">
        <v>82</v>
      </c>
      <c r="F1913" s="22">
        <v>14.12</v>
      </c>
      <c r="G1913" s="22">
        <f>F1913-'Estatística'!$D$6/'Estatística'!$D$10</f>
        <v>13.11698037</v>
      </c>
      <c r="H1913" s="23">
        <v>45276.0</v>
      </c>
      <c r="I1913" s="24" t="str">
        <f t="shared" si="1"/>
        <v>dez.</v>
      </c>
      <c r="O1913" s="8"/>
    </row>
    <row r="1914" ht="15.75" customHeight="1">
      <c r="A1914" s="9">
        <v>93.0</v>
      </c>
      <c r="B1914" s="9" t="s">
        <v>129</v>
      </c>
      <c r="C1914" s="9" t="s">
        <v>130</v>
      </c>
      <c r="D1914" s="10" t="s">
        <v>11</v>
      </c>
      <c r="E1914" s="11" t="s">
        <v>88</v>
      </c>
      <c r="F1914" s="12">
        <v>35.22</v>
      </c>
      <c r="G1914" s="12">
        <f>F1914-'Estatística'!$D$6/'Estatística'!$D$10</f>
        <v>34.21698037</v>
      </c>
      <c r="H1914" s="13">
        <v>45276.0</v>
      </c>
      <c r="I1914" s="14" t="str">
        <f t="shared" si="1"/>
        <v>dez.</v>
      </c>
      <c r="O1914" s="8"/>
    </row>
    <row r="1915" ht="15.75" customHeight="1">
      <c r="A1915" s="19">
        <v>97.0</v>
      </c>
      <c r="B1915" s="19" t="s">
        <v>69</v>
      </c>
      <c r="C1915" s="19" t="s">
        <v>70</v>
      </c>
      <c r="D1915" s="20" t="s">
        <v>11</v>
      </c>
      <c r="E1915" s="21" t="s">
        <v>31</v>
      </c>
      <c r="F1915" s="22">
        <v>49.05</v>
      </c>
      <c r="G1915" s="22">
        <f>F1915-'Estatística'!$D$6/'Estatística'!$D$10</f>
        <v>48.04698037</v>
      </c>
      <c r="H1915" s="23">
        <v>45276.0</v>
      </c>
      <c r="I1915" s="24" t="str">
        <f t="shared" si="1"/>
        <v>dez.</v>
      </c>
      <c r="O1915" s="8"/>
    </row>
    <row r="1916" ht="15.75" customHeight="1">
      <c r="A1916" s="9">
        <v>98.0</v>
      </c>
      <c r="B1916" s="9" t="s">
        <v>159</v>
      </c>
      <c r="C1916" s="9" t="s">
        <v>196</v>
      </c>
      <c r="D1916" s="10" t="s">
        <v>11</v>
      </c>
      <c r="E1916" s="11" t="s">
        <v>46</v>
      </c>
      <c r="F1916" s="12">
        <v>13.7</v>
      </c>
      <c r="G1916" s="12">
        <f>F1916-'Estatística'!$D$6/'Estatística'!$D$10</f>
        <v>12.69698037</v>
      </c>
      <c r="H1916" s="13">
        <v>45276.0</v>
      </c>
      <c r="I1916" s="14" t="str">
        <f t="shared" si="1"/>
        <v>dez.</v>
      </c>
      <c r="O1916" s="8"/>
    </row>
    <row r="1917" ht="15.75" customHeight="1">
      <c r="A1917" s="19">
        <v>94.0</v>
      </c>
      <c r="B1917" s="19" t="s">
        <v>207</v>
      </c>
      <c r="C1917" s="19" t="s">
        <v>237</v>
      </c>
      <c r="D1917" s="20" t="s">
        <v>30</v>
      </c>
      <c r="E1917" s="21" t="s">
        <v>50</v>
      </c>
      <c r="F1917" s="22">
        <v>27.16</v>
      </c>
      <c r="G1917" s="22">
        <f>F1917-'Estatística'!$D$6/'Estatística'!$D$10</f>
        <v>26.15698037</v>
      </c>
      <c r="H1917" s="23">
        <v>45276.0</v>
      </c>
      <c r="I1917" s="24" t="str">
        <f t="shared" si="1"/>
        <v>dez.</v>
      </c>
      <c r="O1917" s="8"/>
    </row>
    <row r="1918" ht="15.75" customHeight="1">
      <c r="A1918" s="9">
        <v>93.0</v>
      </c>
      <c r="B1918" s="9" t="s">
        <v>129</v>
      </c>
      <c r="C1918" s="9" t="s">
        <v>130</v>
      </c>
      <c r="D1918" s="10" t="s">
        <v>30</v>
      </c>
      <c r="E1918" s="11" t="s">
        <v>85</v>
      </c>
      <c r="F1918" s="12">
        <v>12.67</v>
      </c>
      <c r="G1918" s="12">
        <f>F1918-'Estatística'!$D$6/'Estatística'!$D$10</f>
        <v>11.66698037</v>
      </c>
      <c r="H1918" s="13">
        <v>45277.0</v>
      </c>
      <c r="I1918" s="14" t="str">
        <f t="shared" si="1"/>
        <v>dez.</v>
      </c>
      <c r="O1918" s="8"/>
    </row>
    <row r="1919" ht="15.75" customHeight="1">
      <c r="A1919" s="19">
        <v>87.0</v>
      </c>
      <c r="B1919" s="19" t="s">
        <v>243</v>
      </c>
      <c r="C1919" s="19" t="s">
        <v>244</v>
      </c>
      <c r="D1919" s="20" t="s">
        <v>30</v>
      </c>
      <c r="E1919" s="21" t="s">
        <v>68</v>
      </c>
      <c r="F1919" s="22">
        <v>9.46</v>
      </c>
      <c r="G1919" s="22">
        <f>F1919-'Estatística'!$D$6/'Estatística'!$D$10</f>
        <v>8.456980371</v>
      </c>
      <c r="H1919" s="23">
        <v>45277.0</v>
      </c>
      <c r="I1919" s="24" t="str">
        <f t="shared" si="1"/>
        <v>dez.</v>
      </c>
      <c r="O1919" s="8"/>
    </row>
    <row r="1920" ht="15.75" customHeight="1">
      <c r="A1920" s="9">
        <v>17.0</v>
      </c>
      <c r="B1920" s="9" t="s">
        <v>200</v>
      </c>
      <c r="C1920" s="9" t="s">
        <v>201</v>
      </c>
      <c r="D1920" s="10" t="s">
        <v>11</v>
      </c>
      <c r="E1920" s="11" t="s">
        <v>82</v>
      </c>
      <c r="F1920" s="12">
        <v>14.06</v>
      </c>
      <c r="G1920" s="12">
        <f>F1920-'Estatística'!$D$6/'Estatística'!$D$10</f>
        <v>13.05698037</v>
      </c>
      <c r="H1920" s="13">
        <v>45277.0</v>
      </c>
      <c r="I1920" s="14" t="str">
        <f t="shared" si="1"/>
        <v>dez.</v>
      </c>
      <c r="O1920" s="8"/>
    </row>
    <row r="1921" ht="15.75" customHeight="1">
      <c r="A1921" s="19">
        <v>98.0</v>
      </c>
      <c r="B1921" s="19" t="s">
        <v>159</v>
      </c>
      <c r="C1921" s="19" t="s">
        <v>196</v>
      </c>
      <c r="D1921" s="20" t="s">
        <v>11</v>
      </c>
      <c r="E1921" s="21" t="s">
        <v>43</v>
      </c>
      <c r="F1921" s="22">
        <v>18.28</v>
      </c>
      <c r="G1921" s="22">
        <f>F1921-'Estatística'!$D$6/'Estatística'!$D$10</f>
        <v>17.27698037</v>
      </c>
      <c r="H1921" s="23">
        <v>45277.0</v>
      </c>
      <c r="I1921" s="24" t="str">
        <f t="shared" si="1"/>
        <v>dez.</v>
      </c>
      <c r="O1921" s="8"/>
    </row>
    <row r="1922" ht="15.75" customHeight="1">
      <c r="A1922" s="9">
        <v>68.0</v>
      </c>
      <c r="B1922" s="9" t="s">
        <v>41</v>
      </c>
      <c r="C1922" s="9" t="s">
        <v>42</v>
      </c>
      <c r="D1922" s="10" t="s">
        <v>30</v>
      </c>
      <c r="E1922" s="11" t="s">
        <v>79</v>
      </c>
      <c r="F1922" s="12">
        <v>31.67</v>
      </c>
      <c r="G1922" s="12">
        <f>F1922-'Estatística'!$D$6/'Estatística'!$D$10</f>
        <v>30.66698037</v>
      </c>
      <c r="H1922" s="13">
        <v>45277.0</v>
      </c>
      <c r="I1922" s="14" t="str">
        <f t="shared" si="1"/>
        <v>dez.</v>
      </c>
      <c r="O1922" s="8"/>
    </row>
    <row r="1923" ht="15.75" customHeight="1">
      <c r="A1923" s="19">
        <v>52.0</v>
      </c>
      <c r="B1923" s="19" t="s">
        <v>181</v>
      </c>
      <c r="C1923" s="19" t="s">
        <v>182</v>
      </c>
      <c r="D1923" s="20" t="s">
        <v>30</v>
      </c>
      <c r="E1923" s="21" t="s">
        <v>50</v>
      </c>
      <c r="F1923" s="22">
        <v>22.18</v>
      </c>
      <c r="G1923" s="22">
        <f>F1923-'Estatística'!$D$6/'Estatística'!$D$10</f>
        <v>21.17698037</v>
      </c>
      <c r="H1923" s="23">
        <v>45277.0</v>
      </c>
      <c r="I1923" s="24" t="str">
        <f t="shared" si="1"/>
        <v>dez.</v>
      </c>
      <c r="O1923" s="8"/>
    </row>
    <row r="1924" ht="15.75" customHeight="1">
      <c r="A1924" s="9">
        <v>72.0</v>
      </c>
      <c r="B1924" s="9" t="s">
        <v>133</v>
      </c>
      <c r="C1924" s="9" t="s">
        <v>134</v>
      </c>
      <c r="D1924" s="10" t="s">
        <v>30</v>
      </c>
      <c r="E1924" s="11" t="s">
        <v>72</v>
      </c>
      <c r="F1924" s="12">
        <v>24.73</v>
      </c>
      <c r="G1924" s="12">
        <f>F1924-'Estatística'!$D$6/'Estatística'!$D$10</f>
        <v>23.72698037</v>
      </c>
      <c r="H1924" s="13">
        <v>45277.0</v>
      </c>
      <c r="I1924" s="14" t="str">
        <f t="shared" si="1"/>
        <v>dez.</v>
      </c>
      <c r="O1924" s="8"/>
    </row>
    <row r="1925" ht="15.75" customHeight="1">
      <c r="A1925" s="19">
        <v>75.0</v>
      </c>
      <c r="B1925" s="19" t="s">
        <v>238</v>
      </c>
      <c r="C1925" s="19" t="s">
        <v>239</v>
      </c>
      <c r="D1925" s="20" t="s">
        <v>11</v>
      </c>
      <c r="E1925" s="21" t="s">
        <v>43</v>
      </c>
      <c r="F1925" s="22">
        <v>16.25</v>
      </c>
      <c r="G1925" s="22">
        <f>F1925-'Estatística'!$D$6/'Estatística'!$D$10</f>
        <v>15.24698037</v>
      </c>
      <c r="H1925" s="23">
        <v>45277.0</v>
      </c>
      <c r="I1925" s="24" t="str">
        <f t="shared" si="1"/>
        <v>dez.</v>
      </c>
      <c r="O1925" s="8"/>
    </row>
    <row r="1926" ht="15.75" customHeight="1">
      <c r="A1926" s="9">
        <v>24.0</v>
      </c>
      <c r="B1926" s="9" t="s">
        <v>139</v>
      </c>
      <c r="C1926" s="9" t="s">
        <v>140</v>
      </c>
      <c r="D1926" s="10" t="s">
        <v>30</v>
      </c>
      <c r="E1926" s="11" t="s">
        <v>39</v>
      </c>
      <c r="F1926" s="12">
        <v>26.5</v>
      </c>
      <c r="G1926" s="12">
        <f>F1926-'Estatística'!$D$6/'Estatística'!$D$10</f>
        <v>25.49698037</v>
      </c>
      <c r="H1926" s="13">
        <v>45277.0</v>
      </c>
      <c r="I1926" s="14" t="str">
        <f t="shared" si="1"/>
        <v>dez.</v>
      </c>
      <c r="O1926" s="8"/>
    </row>
    <row r="1927" ht="15.75" customHeight="1">
      <c r="A1927" s="19">
        <v>10.0</v>
      </c>
      <c r="B1927" s="19" t="s">
        <v>148</v>
      </c>
      <c r="C1927" s="19" t="s">
        <v>149</v>
      </c>
      <c r="D1927" s="20" t="s">
        <v>30</v>
      </c>
      <c r="E1927" s="21" t="s">
        <v>88</v>
      </c>
      <c r="F1927" s="22">
        <v>32.7</v>
      </c>
      <c r="G1927" s="22">
        <f>F1927-'Estatística'!$D$6/'Estatística'!$D$10</f>
        <v>31.69698037</v>
      </c>
      <c r="H1927" s="23">
        <v>45277.0</v>
      </c>
      <c r="I1927" s="24" t="str">
        <f t="shared" si="1"/>
        <v>dez.</v>
      </c>
      <c r="O1927" s="8"/>
    </row>
    <row r="1928" ht="15.75" customHeight="1">
      <c r="A1928" s="9">
        <v>51.0</v>
      </c>
      <c r="B1928" s="9" t="s">
        <v>233</v>
      </c>
      <c r="C1928" s="9" t="s">
        <v>234</v>
      </c>
      <c r="D1928" s="10" t="s">
        <v>11</v>
      </c>
      <c r="E1928" s="11" t="s">
        <v>76</v>
      </c>
      <c r="F1928" s="12">
        <v>11.37</v>
      </c>
      <c r="G1928" s="12">
        <f>F1928-'Estatística'!$D$6/'Estatística'!$D$10</f>
        <v>10.36698037</v>
      </c>
      <c r="H1928" s="13">
        <v>45278.0</v>
      </c>
      <c r="I1928" s="14" t="str">
        <f t="shared" si="1"/>
        <v>dez.</v>
      </c>
      <c r="O1928" s="8"/>
    </row>
    <row r="1929" ht="15.75" customHeight="1">
      <c r="A1929" s="19">
        <v>6.0</v>
      </c>
      <c r="B1929" s="19" t="s">
        <v>183</v>
      </c>
      <c r="C1929" s="19" t="s">
        <v>184</v>
      </c>
      <c r="D1929" s="20" t="s">
        <v>30</v>
      </c>
      <c r="E1929" s="21" t="s">
        <v>56</v>
      </c>
      <c r="F1929" s="22">
        <v>76.07</v>
      </c>
      <c r="G1929" s="22">
        <f>F1929-'Estatística'!$D$6/'Estatística'!$D$10</f>
        <v>75.06698037</v>
      </c>
      <c r="H1929" s="23">
        <v>45278.0</v>
      </c>
      <c r="I1929" s="24" t="str">
        <f t="shared" si="1"/>
        <v>dez.</v>
      </c>
      <c r="O1929" s="8"/>
    </row>
    <row r="1930" ht="15.75" customHeight="1">
      <c r="A1930" s="9">
        <v>75.0</v>
      </c>
      <c r="B1930" s="9" t="s">
        <v>238</v>
      </c>
      <c r="C1930" s="9" t="s">
        <v>239</v>
      </c>
      <c r="D1930" s="10" t="s">
        <v>30</v>
      </c>
      <c r="E1930" s="11" t="s">
        <v>85</v>
      </c>
      <c r="F1930" s="12">
        <v>15.72</v>
      </c>
      <c r="G1930" s="12">
        <f>F1930-'Estatística'!$D$6/'Estatística'!$D$10</f>
        <v>14.71698037</v>
      </c>
      <c r="H1930" s="13">
        <v>45278.0</v>
      </c>
      <c r="I1930" s="14" t="str">
        <f t="shared" si="1"/>
        <v>dez.</v>
      </c>
      <c r="O1930" s="8"/>
    </row>
    <row r="1931" ht="15.75" customHeight="1">
      <c r="A1931" s="19">
        <v>19.0</v>
      </c>
      <c r="B1931" s="19" t="s">
        <v>41</v>
      </c>
      <c r="C1931" s="19" t="s">
        <v>193</v>
      </c>
      <c r="D1931" s="20" t="s">
        <v>30</v>
      </c>
      <c r="E1931" s="21" t="s">
        <v>12</v>
      </c>
      <c r="F1931" s="22">
        <v>10.63</v>
      </c>
      <c r="G1931" s="22">
        <f>F1931-'Estatística'!$D$6/'Estatística'!$D$10</f>
        <v>9.626980371</v>
      </c>
      <c r="H1931" s="23">
        <v>45278.0</v>
      </c>
      <c r="I1931" s="24" t="str">
        <f t="shared" si="1"/>
        <v>dez.</v>
      </c>
      <c r="O1931" s="8"/>
    </row>
    <row r="1932" ht="15.75" customHeight="1">
      <c r="A1932" s="9">
        <v>86.0</v>
      </c>
      <c r="B1932" s="9" t="s">
        <v>62</v>
      </c>
      <c r="C1932" s="9" t="s">
        <v>63</v>
      </c>
      <c r="D1932" s="10" t="s">
        <v>11</v>
      </c>
      <c r="E1932" s="11" t="s">
        <v>60</v>
      </c>
      <c r="F1932" s="12">
        <v>45.04</v>
      </c>
      <c r="G1932" s="12">
        <f>F1932-'Estatística'!$D$6/'Estatística'!$D$10</f>
        <v>44.03698037</v>
      </c>
      <c r="H1932" s="13">
        <v>45278.0</v>
      </c>
      <c r="I1932" s="14" t="str">
        <f t="shared" si="1"/>
        <v>dez.</v>
      </c>
      <c r="O1932" s="8"/>
    </row>
    <row r="1933" ht="15.75" customHeight="1">
      <c r="A1933" s="19">
        <v>9.0</v>
      </c>
      <c r="B1933" s="19" t="s">
        <v>207</v>
      </c>
      <c r="C1933" s="19" t="s">
        <v>208</v>
      </c>
      <c r="D1933" s="20" t="s">
        <v>11</v>
      </c>
      <c r="E1933" s="21" t="s">
        <v>72</v>
      </c>
      <c r="F1933" s="22">
        <v>22.82</v>
      </c>
      <c r="G1933" s="22">
        <f>F1933-'Estatística'!$D$6/'Estatística'!$D$10</f>
        <v>21.81698037</v>
      </c>
      <c r="H1933" s="23">
        <v>45278.0</v>
      </c>
      <c r="I1933" s="24" t="str">
        <f t="shared" si="1"/>
        <v>dez.</v>
      </c>
      <c r="O1933" s="8"/>
    </row>
    <row r="1934" ht="15.75" customHeight="1">
      <c r="A1934" s="9">
        <v>97.0</v>
      </c>
      <c r="B1934" s="9" t="s">
        <v>69</v>
      </c>
      <c r="C1934" s="9" t="s">
        <v>70</v>
      </c>
      <c r="D1934" s="10" t="s">
        <v>30</v>
      </c>
      <c r="E1934" s="11" t="s">
        <v>50</v>
      </c>
      <c r="F1934" s="12">
        <v>28.01</v>
      </c>
      <c r="G1934" s="12">
        <f>F1934-'Estatística'!$D$6/'Estatística'!$D$10</f>
        <v>27.00698037</v>
      </c>
      <c r="H1934" s="13">
        <v>45278.0</v>
      </c>
      <c r="I1934" s="14" t="str">
        <f t="shared" si="1"/>
        <v>dez.</v>
      </c>
      <c r="O1934" s="8"/>
    </row>
    <row r="1935" ht="15.75" customHeight="1">
      <c r="A1935" s="19">
        <v>9.0</v>
      </c>
      <c r="B1935" s="19" t="s">
        <v>207</v>
      </c>
      <c r="C1935" s="19" t="s">
        <v>208</v>
      </c>
      <c r="D1935" s="20" t="s">
        <v>30</v>
      </c>
      <c r="E1935" s="21" t="s">
        <v>50</v>
      </c>
      <c r="F1935" s="22">
        <v>26.4</v>
      </c>
      <c r="G1935" s="22">
        <f>F1935-'Estatística'!$D$6/'Estatística'!$D$10</f>
        <v>25.39698037</v>
      </c>
      <c r="H1935" s="23">
        <v>45278.0</v>
      </c>
      <c r="I1935" s="24" t="str">
        <f t="shared" si="1"/>
        <v>dez.</v>
      </c>
      <c r="O1935" s="8"/>
    </row>
    <row r="1936" ht="15.75" customHeight="1">
      <c r="A1936" s="9">
        <v>82.0</v>
      </c>
      <c r="B1936" s="9" t="s">
        <v>231</v>
      </c>
      <c r="C1936" s="9" t="s">
        <v>232</v>
      </c>
      <c r="D1936" s="10" t="s">
        <v>11</v>
      </c>
      <c r="E1936" s="11" t="s">
        <v>12</v>
      </c>
      <c r="F1936" s="12">
        <v>10.24</v>
      </c>
      <c r="G1936" s="12">
        <f>F1936-'Estatística'!$D$6/'Estatística'!$D$10</f>
        <v>9.236980371</v>
      </c>
      <c r="H1936" s="13">
        <v>45279.0</v>
      </c>
      <c r="I1936" s="14" t="str">
        <f t="shared" si="1"/>
        <v>dez.</v>
      </c>
      <c r="O1936" s="8"/>
    </row>
    <row r="1937" ht="15.75" customHeight="1">
      <c r="A1937" s="19">
        <v>89.0</v>
      </c>
      <c r="B1937" s="19" t="s">
        <v>135</v>
      </c>
      <c r="C1937" s="19" t="s">
        <v>136</v>
      </c>
      <c r="D1937" s="20" t="s">
        <v>30</v>
      </c>
      <c r="E1937" s="21" t="s">
        <v>39</v>
      </c>
      <c r="F1937" s="22">
        <v>30.42</v>
      </c>
      <c r="G1937" s="22">
        <f>F1937-'Estatística'!$D$6/'Estatística'!$D$10</f>
        <v>29.41698037</v>
      </c>
      <c r="H1937" s="23">
        <v>45279.0</v>
      </c>
      <c r="I1937" s="24" t="str">
        <f t="shared" si="1"/>
        <v>dez.</v>
      </c>
      <c r="O1937" s="8"/>
    </row>
    <row r="1938" ht="15.75" customHeight="1">
      <c r="A1938" s="9">
        <v>3.0</v>
      </c>
      <c r="B1938" s="9" t="s">
        <v>80</v>
      </c>
      <c r="C1938" s="9" t="s">
        <v>81</v>
      </c>
      <c r="D1938" s="10" t="s">
        <v>11</v>
      </c>
      <c r="E1938" s="11" t="s">
        <v>82</v>
      </c>
      <c r="F1938" s="12">
        <v>10.53</v>
      </c>
      <c r="G1938" s="12">
        <f>F1938-'Estatística'!$D$6/'Estatística'!$D$10</f>
        <v>9.526980371</v>
      </c>
      <c r="H1938" s="13">
        <v>45279.0</v>
      </c>
      <c r="I1938" s="14" t="str">
        <f t="shared" si="1"/>
        <v>dez.</v>
      </c>
      <c r="O1938" s="8"/>
    </row>
    <row r="1939" ht="15.75" customHeight="1">
      <c r="A1939" s="19">
        <v>12.0</v>
      </c>
      <c r="B1939" s="19" t="s">
        <v>188</v>
      </c>
      <c r="C1939" s="19" t="s">
        <v>189</v>
      </c>
      <c r="D1939" s="20" t="s">
        <v>30</v>
      </c>
      <c r="E1939" s="21" t="s">
        <v>68</v>
      </c>
      <c r="F1939" s="22">
        <v>6.78</v>
      </c>
      <c r="G1939" s="22">
        <f>F1939-'Estatística'!$D$6/'Estatística'!$D$10</f>
        <v>5.776980371</v>
      </c>
      <c r="H1939" s="23">
        <v>45279.0</v>
      </c>
      <c r="I1939" s="24" t="str">
        <f t="shared" si="1"/>
        <v>dez.</v>
      </c>
      <c r="O1939" s="8"/>
    </row>
    <row r="1940" ht="15.75" customHeight="1">
      <c r="A1940" s="9">
        <v>23.0</v>
      </c>
      <c r="B1940" s="9" t="s">
        <v>235</v>
      </c>
      <c r="C1940" s="9" t="s">
        <v>236</v>
      </c>
      <c r="D1940" s="10" t="s">
        <v>11</v>
      </c>
      <c r="E1940" s="11" t="s">
        <v>50</v>
      </c>
      <c r="F1940" s="12">
        <v>23.47</v>
      </c>
      <c r="G1940" s="12">
        <f>F1940-'Estatística'!$D$6/'Estatística'!$D$10</f>
        <v>22.46698037</v>
      </c>
      <c r="H1940" s="13">
        <v>45279.0</v>
      </c>
      <c r="I1940" s="14" t="str">
        <f t="shared" si="1"/>
        <v>dez.</v>
      </c>
      <c r="O1940" s="8"/>
    </row>
    <row r="1941" ht="15.75" customHeight="1">
      <c r="A1941" s="19">
        <v>41.0</v>
      </c>
      <c r="B1941" s="19" t="s">
        <v>217</v>
      </c>
      <c r="C1941" s="19" t="s">
        <v>218</v>
      </c>
      <c r="D1941" s="20" t="s">
        <v>30</v>
      </c>
      <c r="E1941" s="21" t="s">
        <v>85</v>
      </c>
      <c r="F1941" s="22">
        <v>13.62</v>
      </c>
      <c r="G1941" s="22">
        <f>F1941-'Estatística'!$D$6/'Estatística'!$D$10</f>
        <v>12.61698037</v>
      </c>
      <c r="H1941" s="23">
        <v>45279.0</v>
      </c>
      <c r="I1941" s="24" t="str">
        <f t="shared" si="1"/>
        <v>dez.</v>
      </c>
      <c r="O1941" s="8"/>
    </row>
    <row r="1942" ht="15.75" customHeight="1">
      <c r="A1942" s="9">
        <v>19.0</v>
      </c>
      <c r="B1942" s="9" t="s">
        <v>41</v>
      </c>
      <c r="C1942" s="9" t="s">
        <v>193</v>
      </c>
      <c r="D1942" s="10" t="s">
        <v>30</v>
      </c>
      <c r="E1942" s="11" t="s">
        <v>97</v>
      </c>
      <c r="F1942" s="12">
        <v>2.93</v>
      </c>
      <c r="G1942" s="12">
        <f>F1942-'Estatística'!$D$6/'Estatística'!$D$10</f>
        <v>1.926980371</v>
      </c>
      <c r="H1942" s="13">
        <v>45279.0</v>
      </c>
      <c r="I1942" s="14" t="str">
        <f t="shared" si="1"/>
        <v>dez.</v>
      </c>
      <c r="O1942" s="8"/>
    </row>
    <row r="1943" ht="15.75" customHeight="1">
      <c r="A1943" s="19">
        <v>39.0</v>
      </c>
      <c r="B1943" s="19" t="s">
        <v>89</v>
      </c>
      <c r="C1943" s="19" t="s">
        <v>90</v>
      </c>
      <c r="D1943" s="20" t="s">
        <v>11</v>
      </c>
      <c r="E1943" s="21" t="s">
        <v>43</v>
      </c>
      <c r="F1943" s="22">
        <v>19.8</v>
      </c>
      <c r="G1943" s="22">
        <f>F1943-'Estatística'!$D$6/'Estatística'!$D$10</f>
        <v>18.79698037</v>
      </c>
      <c r="H1943" s="23">
        <v>45279.0</v>
      </c>
      <c r="I1943" s="24" t="str">
        <f t="shared" si="1"/>
        <v>dez.</v>
      </c>
      <c r="O1943" s="8"/>
    </row>
    <row r="1944" ht="15.75" customHeight="1">
      <c r="A1944" s="9">
        <v>31.0</v>
      </c>
      <c r="B1944" s="9" t="s">
        <v>229</v>
      </c>
      <c r="C1944" s="9" t="s">
        <v>230</v>
      </c>
      <c r="D1944" s="10" t="s">
        <v>30</v>
      </c>
      <c r="E1944" s="11" t="s">
        <v>91</v>
      </c>
      <c r="F1944" s="12">
        <v>4.3</v>
      </c>
      <c r="G1944" s="12">
        <f>F1944-'Estatística'!$D$6/'Estatística'!$D$10</f>
        <v>3.296980371</v>
      </c>
      <c r="H1944" s="13">
        <v>45280.0</v>
      </c>
      <c r="I1944" s="14" t="str">
        <f t="shared" si="1"/>
        <v>dez.</v>
      </c>
      <c r="O1944" s="8"/>
    </row>
    <row r="1945" ht="15.75" customHeight="1">
      <c r="A1945" s="19">
        <v>40.0</v>
      </c>
      <c r="B1945" s="19" t="s">
        <v>122</v>
      </c>
      <c r="C1945" s="19" t="s">
        <v>185</v>
      </c>
      <c r="D1945" s="20" t="s">
        <v>30</v>
      </c>
      <c r="E1945" s="21" t="s">
        <v>97</v>
      </c>
      <c r="F1945" s="22">
        <v>5.27</v>
      </c>
      <c r="G1945" s="22">
        <f>F1945-'Estatística'!$D$6/'Estatística'!$D$10</f>
        <v>4.266980371</v>
      </c>
      <c r="H1945" s="23">
        <v>45280.0</v>
      </c>
      <c r="I1945" s="24" t="str">
        <f t="shared" si="1"/>
        <v>dez.</v>
      </c>
      <c r="O1945" s="8"/>
    </row>
    <row r="1946" ht="15.75" customHeight="1">
      <c r="A1946" s="9">
        <v>41.0</v>
      </c>
      <c r="B1946" s="9" t="s">
        <v>217</v>
      </c>
      <c r="C1946" s="9" t="s">
        <v>218</v>
      </c>
      <c r="D1946" s="10" t="s">
        <v>30</v>
      </c>
      <c r="E1946" s="11" t="s">
        <v>94</v>
      </c>
      <c r="F1946" s="12">
        <v>30.9</v>
      </c>
      <c r="G1946" s="12">
        <f>F1946-'Estatística'!$D$6/'Estatística'!$D$10</f>
        <v>29.89698037</v>
      </c>
      <c r="H1946" s="13">
        <v>45280.0</v>
      </c>
      <c r="I1946" s="14" t="str">
        <f t="shared" si="1"/>
        <v>dez.</v>
      </c>
      <c r="O1946" s="8"/>
    </row>
    <row r="1947" ht="15.75" customHeight="1">
      <c r="A1947" s="19">
        <v>29.0</v>
      </c>
      <c r="B1947" s="19" t="s">
        <v>122</v>
      </c>
      <c r="C1947" s="19" t="s">
        <v>123</v>
      </c>
      <c r="D1947" s="20" t="s">
        <v>11</v>
      </c>
      <c r="E1947" s="21" t="s">
        <v>12</v>
      </c>
      <c r="F1947" s="22">
        <v>10.55</v>
      </c>
      <c r="G1947" s="22">
        <f>F1947-'Estatística'!$D$6/'Estatística'!$D$10</f>
        <v>9.546980371</v>
      </c>
      <c r="H1947" s="23">
        <v>45280.0</v>
      </c>
      <c r="I1947" s="24" t="str">
        <f t="shared" si="1"/>
        <v>dez.</v>
      </c>
      <c r="O1947" s="8"/>
    </row>
    <row r="1948" ht="15.75" customHeight="1">
      <c r="A1948" s="9">
        <v>22.0</v>
      </c>
      <c r="B1948" s="9" t="s">
        <v>131</v>
      </c>
      <c r="C1948" s="9" t="s">
        <v>132</v>
      </c>
      <c r="D1948" s="10" t="s">
        <v>11</v>
      </c>
      <c r="E1948" s="11" t="s">
        <v>35</v>
      </c>
      <c r="F1948" s="12">
        <v>12.75</v>
      </c>
      <c r="G1948" s="12">
        <f>F1948-'Estatística'!$D$6/'Estatística'!$D$10</f>
        <v>11.74698037</v>
      </c>
      <c r="H1948" s="13">
        <v>45280.0</v>
      </c>
      <c r="I1948" s="14" t="str">
        <f t="shared" si="1"/>
        <v>dez.</v>
      </c>
      <c r="O1948" s="8"/>
    </row>
    <row r="1949" ht="15.75" customHeight="1">
      <c r="A1949" s="19">
        <v>11.0</v>
      </c>
      <c r="B1949" s="19" t="s">
        <v>227</v>
      </c>
      <c r="C1949" s="19" t="s">
        <v>228</v>
      </c>
      <c r="D1949" s="20" t="s">
        <v>11</v>
      </c>
      <c r="E1949" s="21" t="s">
        <v>60</v>
      </c>
      <c r="F1949" s="22">
        <v>43.31</v>
      </c>
      <c r="G1949" s="22">
        <f>F1949-'Estatística'!$D$6/'Estatística'!$D$10</f>
        <v>42.30698037</v>
      </c>
      <c r="H1949" s="23">
        <v>45280.0</v>
      </c>
      <c r="I1949" s="24" t="str">
        <f t="shared" si="1"/>
        <v>dez.</v>
      </c>
      <c r="O1949" s="8"/>
    </row>
    <row r="1950" ht="15.75" customHeight="1">
      <c r="A1950" s="9">
        <v>67.0</v>
      </c>
      <c r="B1950" s="9" t="s">
        <v>204</v>
      </c>
      <c r="C1950" s="9" t="s">
        <v>205</v>
      </c>
      <c r="D1950" s="10" t="s">
        <v>11</v>
      </c>
      <c r="E1950" s="11" t="s">
        <v>85</v>
      </c>
      <c r="F1950" s="12">
        <v>12.2</v>
      </c>
      <c r="G1950" s="12">
        <f>F1950-'Estatística'!$D$6/'Estatística'!$D$10</f>
        <v>11.19698037</v>
      </c>
      <c r="H1950" s="13">
        <v>45280.0</v>
      </c>
      <c r="I1950" s="14" t="str">
        <f t="shared" si="1"/>
        <v>dez.</v>
      </c>
      <c r="O1950" s="8"/>
    </row>
    <row r="1951" ht="15.75" customHeight="1">
      <c r="A1951" s="19">
        <v>9.0</v>
      </c>
      <c r="B1951" s="19" t="s">
        <v>207</v>
      </c>
      <c r="C1951" s="19" t="s">
        <v>208</v>
      </c>
      <c r="D1951" s="20" t="s">
        <v>30</v>
      </c>
      <c r="E1951" s="21" t="s">
        <v>82</v>
      </c>
      <c r="F1951" s="22">
        <v>13.07</v>
      </c>
      <c r="G1951" s="22">
        <f>F1951-'Estatística'!$D$6/'Estatística'!$D$10</f>
        <v>12.06698037</v>
      </c>
      <c r="H1951" s="23">
        <v>45280.0</v>
      </c>
      <c r="I1951" s="24" t="str">
        <f t="shared" si="1"/>
        <v>dez.</v>
      </c>
      <c r="O1951" s="8"/>
    </row>
    <row r="1952" ht="15.75" customHeight="1">
      <c r="A1952" s="9">
        <v>77.0</v>
      </c>
      <c r="B1952" s="9" t="s">
        <v>9</v>
      </c>
      <c r="C1952" s="9" t="s">
        <v>169</v>
      </c>
      <c r="D1952" s="10" t="s">
        <v>30</v>
      </c>
      <c r="E1952" s="11" t="s">
        <v>82</v>
      </c>
      <c r="F1952" s="12">
        <v>10.75</v>
      </c>
      <c r="G1952" s="12">
        <f>F1952-'Estatística'!$D$6/'Estatística'!$D$10</f>
        <v>9.746980371</v>
      </c>
      <c r="H1952" s="13">
        <v>45280.0</v>
      </c>
      <c r="I1952" s="14" t="str">
        <f t="shared" si="1"/>
        <v>dez.</v>
      </c>
      <c r="O1952" s="8"/>
    </row>
    <row r="1953" ht="15.75" customHeight="1">
      <c r="A1953" s="19">
        <v>40.0</v>
      </c>
      <c r="B1953" s="19" t="s">
        <v>122</v>
      </c>
      <c r="C1953" s="19" t="s">
        <v>185</v>
      </c>
      <c r="D1953" s="20" t="s">
        <v>30</v>
      </c>
      <c r="E1953" s="21" t="s">
        <v>85</v>
      </c>
      <c r="F1953" s="22">
        <v>13.88</v>
      </c>
      <c r="G1953" s="22">
        <f>F1953-'Estatística'!$D$6/'Estatística'!$D$10</f>
        <v>12.87698037</v>
      </c>
      <c r="H1953" s="23">
        <v>45280.0</v>
      </c>
      <c r="I1953" s="24" t="str">
        <f t="shared" si="1"/>
        <v>dez.</v>
      </c>
      <c r="O1953" s="8"/>
    </row>
    <row r="1954" ht="15.75" customHeight="1">
      <c r="A1954" s="9">
        <v>22.0</v>
      </c>
      <c r="B1954" s="9" t="s">
        <v>131</v>
      </c>
      <c r="C1954" s="9" t="s">
        <v>132</v>
      </c>
      <c r="D1954" s="10" t="s">
        <v>30</v>
      </c>
      <c r="E1954" s="11" t="s">
        <v>60</v>
      </c>
      <c r="F1954" s="12">
        <v>48.79</v>
      </c>
      <c r="G1954" s="12">
        <f>F1954-'Estatística'!$D$6/'Estatística'!$D$10</f>
        <v>47.78698037</v>
      </c>
      <c r="H1954" s="13">
        <v>45281.0</v>
      </c>
      <c r="I1954" s="14" t="str">
        <f t="shared" si="1"/>
        <v>dez.</v>
      </c>
      <c r="O1954" s="8"/>
    </row>
    <row r="1955" ht="15.75" customHeight="1">
      <c r="A1955" s="19">
        <v>43.0</v>
      </c>
      <c r="B1955" s="19" t="s">
        <v>95</v>
      </c>
      <c r="C1955" s="19" t="s">
        <v>96</v>
      </c>
      <c r="D1955" s="20" t="s">
        <v>30</v>
      </c>
      <c r="E1955" s="21" t="s">
        <v>85</v>
      </c>
      <c r="F1955" s="22">
        <v>16.61</v>
      </c>
      <c r="G1955" s="22">
        <f>F1955-'Estatística'!$D$6/'Estatística'!$D$10</f>
        <v>15.60698037</v>
      </c>
      <c r="H1955" s="23">
        <v>45281.0</v>
      </c>
      <c r="I1955" s="24" t="str">
        <f t="shared" si="1"/>
        <v>dez.</v>
      </c>
      <c r="O1955" s="8"/>
    </row>
    <row r="1956" ht="15.75" customHeight="1">
      <c r="A1956" s="9">
        <v>56.0</v>
      </c>
      <c r="B1956" s="9" t="s">
        <v>127</v>
      </c>
      <c r="C1956" s="9" t="s">
        <v>128</v>
      </c>
      <c r="D1956" s="10" t="s">
        <v>30</v>
      </c>
      <c r="E1956" s="11" t="s">
        <v>79</v>
      </c>
      <c r="F1956" s="12">
        <v>30.08</v>
      </c>
      <c r="G1956" s="12">
        <f>F1956-'Estatística'!$D$6/'Estatística'!$D$10</f>
        <v>29.07698037</v>
      </c>
      <c r="H1956" s="13">
        <v>45281.0</v>
      </c>
      <c r="I1956" s="14" t="str">
        <f t="shared" si="1"/>
        <v>dez.</v>
      </c>
      <c r="O1956" s="8"/>
    </row>
    <row r="1957" ht="15.75" customHeight="1">
      <c r="A1957" s="19">
        <v>14.0</v>
      </c>
      <c r="B1957" s="19" t="s">
        <v>171</v>
      </c>
      <c r="C1957" s="19" t="s">
        <v>172</v>
      </c>
      <c r="D1957" s="20" t="s">
        <v>30</v>
      </c>
      <c r="E1957" s="21" t="s">
        <v>46</v>
      </c>
      <c r="F1957" s="22">
        <v>14.2</v>
      </c>
      <c r="G1957" s="22">
        <f>F1957-'Estatística'!$D$6/'Estatística'!$D$10</f>
        <v>13.19698037</v>
      </c>
      <c r="H1957" s="23">
        <v>45281.0</v>
      </c>
      <c r="I1957" s="24" t="str">
        <f t="shared" si="1"/>
        <v>dez.</v>
      </c>
      <c r="O1957" s="8"/>
    </row>
    <row r="1958" ht="15.75" customHeight="1">
      <c r="A1958" s="9">
        <v>97.0</v>
      </c>
      <c r="B1958" s="9" t="s">
        <v>69</v>
      </c>
      <c r="C1958" s="9" t="s">
        <v>70</v>
      </c>
      <c r="D1958" s="10" t="s">
        <v>11</v>
      </c>
      <c r="E1958" s="11" t="s">
        <v>31</v>
      </c>
      <c r="F1958" s="12">
        <v>54.18</v>
      </c>
      <c r="G1958" s="12">
        <f>F1958-'Estatística'!$D$6/'Estatística'!$D$10</f>
        <v>53.17698037</v>
      </c>
      <c r="H1958" s="13">
        <v>45281.0</v>
      </c>
      <c r="I1958" s="14" t="str">
        <f t="shared" si="1"/>
        <v>dez.</v>
      </c>
      <c r="O1958" s="8"/>
    </row>
    <row r="1959" ht="15.75" customHeight="1">
      <c r="A1959" s="19">
        <v>57.0</v>
      </c>
      <c r="B1959" s="19" t="s">
        <v>92</v>
      </c>
      <c r="C1959" s="19" t="s">
        <v>190</v>
      </c>
      <c r="D1959" s="20" t="s">
        <v>11</v>
      </c>
      <c r="E1959" s="21" t="s">
        <v>31</v>
      </c>
      <c r="F1959" s="22">
        <v>37.35</v>
      </c>
      <c r="G1959" s="22">
        <f>F1959-'Estatística'!$D$6/'Estatística'!$D$10</f>
        <v>36.34698037</v>
      </c>
      <c r="H1959" s="23">
        <v>45281.0</v>
      </c>
      <c r="I1959" s="24" t="str">
        <f t="shared" si="1"/>
        <v>dez.</v>
      </c>
      <c r="O1959" s="8"/>
    </row>
    <row r="1960" ht="15.75" customHeight="1">
      <c r="A1960" s="9">
        <v>10.0</v>
      </c>
      <c r="B1960" s="9" t="s">
        <v>148</v>
      </c>
      <c r="C1960" s="9" t="s">
        <v>149</v>
      </c>
      <c r="D1960" s="10" t="s">
        <v>11</v>
      </c>
      <c r="E1960" s="11" t="s">
        <v>82</v>
      </c>
      <c r="F1960" s="12">
        <v>14.58</v>
      </c>
      <c r="G1960" s="12">
        <f>F1960-'Estatística'!$D$6/'Estatística'!$D$10</f>
        <v>13.57698037</v>
      </c>
      <c r="H1960" s="13">
        <v>45281.0</v>
      </c>
      <c r="I1960" s="14" t="str">
        <f t="shared" si="1"/>
        <v>dez.</v>
      </c>
      <c r="O1960" s="8"/>
    </row>
    <row r="1961" ht="15.75" customHeight="1">
      <c r="A1961" s="19">
        <v>78.0</v>
      </c>
      <c r="B1961" s="19" t="s">
        <v>28</v>
      </c>
      <c r="C1961" s="19" t="s">
        <v>29</v>
      </c>
      <c r="D1961" s="20" t="s">
        <v>11</v>
      </c>
      <c r="E1961" s="21" t="s">
        <v>46</v>
      </c>
      <c r="F1961" s="22">
        <v>12.28</v>
      </c>
      <c r="G1961" s="22">
        <f>F1961-'Estatística'!$D$6/'Estatística'!$D$10</f>
        <v>11.27698037</v>
      </c>
      <c r="H1961" s="23">
        <v>45281.0</v>
      </c>
      <c r="I1961" s="24" t="str">
        <f t="shared" si="1"/>
        <v>dez.</v>
      </c>
      <c r="O1961" s="8"/>
    </row>
    <row r="1962" ht="15.75" customHeight="1">
      <c r="A1962" s="9">
        <v>1.0</v>
      </c>
      <c r="B1962" s="9" t="s">
        <v>194</v>
      </c>
      <c r="C1962" s="9" t="s">
        <v>195</v>
      </c>
      <c r="D1962" s="10" t="s">
        <v>30</v>
      </c>
      <c r="E1962" s="11" t="s">
        <v>50</v>
      </c>
      <c r="F1962" s="12">
        <v>24.51</v>
      </c>
      <c r="G1962" s="12">
        <f>F1962-'Estatística'!$D$6/'Estatística'!$D$10</f>
        <v>23.50698037</v>
      </c>
      <c r="H1962" s="13">
        <v>45281.0</v>
      </c>
      <c r="I1962" s="14" t="str">
        <f t="shared" si="1"/>
        <v>dez.</v>
      </c>
      <c r="O1962" s="8"/>
    </row>
    <row r="1963" ht="15.75" customHeight="1">
      <c r="A1963" s="19">
        <v>22.0</v>
      </c>
      <c r="B1963" s="19" t="s">
        <v>131</v>
      </c>
      <c r="C1963" s="19" t="s">
        <v>132</v>
      </c>
      <c r="D1963" s="20" t="s">
        <v>11</v>
      </c>
      <c r="E1963" s="21" t="s">
        <v>56</v>
      </c>
      <c r="F1963" s="22">
        <v>69.69</v>
      </c>
      <c r="G1963" s="22">
        <f>F1963-'Estatística'!$D$6/'Estatística'!$D$10</f>
        <v>68.68698037</v>
      </c>
      <c r="H1963" s="23">
        <v>45281.0</v>
      </c>
      <c r="I1963" s="24" t="str">
        <f t="shared" si="1"/>
        <v>dez.</v>
      </c>
      <c r="O1963" s="8"/>
    </row>
    <row r="1964" ht="15.75" customHeight="1">
      <c r="A1964" s="9">
        <v>21.0</v>
      </c>
      <c r="B1964" s="9" t="s">
        <v>186</v>
      </c>
      <c r="C1964" s="9" t="s">
        <v>187</v>
      </c>
      <c r="D1964" s="10" t="s">
        <v>30</v>
      </c>
      <c r="E1964" s="11" t="s">
        <v>72</v>
      </c>
      <c r="F1964" s="12">
        <v>17.51</v>
      </c>
      <c r="G1964" s="12">
        <f>F1964-'Estatística'!$D$6/'Estatística'!$D$10</f>
        <v>16.50698037</v>
      </c>
      <c r="H1964" s="13">
        <v>45282.0</v>
      </c>
      <c r="I1964" s="14" t="str">
        <f t="shared" si="1"/>
        <v>dez.</v>
      </c>
      <c r="O1964" s="8"/>
    </row>
    <row r="1965" ht="15.75" customHeight="1">
      <c r="A1965" s="19">
        <v>91.0</v>
      </c>
      <c r="B1965" s="19" t="s">
        <v>112</v>
      </c>
      <c r="C1965" s="19" t="s">
        <v>113</v>
      </c>
      <c r="D1965" s="20" t="s">
        <v>11</v>
      </c>
      <c r="E1965" s="21" t="s">
        <v>43</v>
      </c>
      <c r="F1965" s="22">
        <v>13.85</v>
      </c>
      <c r="G1965" s="22">
        <f>F1965-'Estatística'!$D$6/'Estatística'!$D$10</f>
        <v>12.84698037</v>
      </c>
      <c r="H1965" s="23">
        <v>45282.0</v>
      </c>
      <c r="I1965" s="24" t="str">
        <f t="shared" si="1"/>
        <v>dez.</v>
      </c>
      <c r="O1965" s="8"/>
    </row>
    <row r="1966" ht="15.75" customHeight="1">
      <c r="A1966" s="9">
        <v>33.0</v>
      </c>
      <c r="B1966" s="9" t="s">
        <v>191</v>
      </c>
      <c r="C1966" s="9" t="s">
        <v>192</v>
      </c>
      <c r="D1966" s="10" t="s">
        <v>11</v>
      </c>
      <c r="E1966" s="11" t="s">
        <v>94</v>
      </c>
      <c r="F1966" s="12">
        <v>28.67</v>
      </c>
      <c r="G1966" s="12">
        <f>F1966-'Estatística'!$D$6/'Estatística'!$D$10</f>
        <v>27.66698037</v>
      </c>
      <c r="H1966" s="13">
        <v>45282.0</v>
      </c>
      <c r="I1966" s="14" t="str">
        <f t="shared" si="1"/>
        <v>dez.</v>
      </c>
      <c r="O1966" s="8"/>
    </row>
    <row r="1967" ht="15.75" customHeight="1">
      <c r="A1967" s="19">
        <v>11.0</v>
      </c>
      <c r="B1967" s="19" t="s">
        <v>227</v>
      </c>
      <c r="C1967" s="19" t="s">
        <v>228</v>
      </c>
      <c r="D1967" s="20" t="s">
        <v>11</v>
      </c>
      <c r="E1967" s="21" t="s">
        <v>35</v>
      </c>
      <c r="F1967" s="22">
        <v>14.74</v>
      </c>
      <c r="G1967" s="22">
        <f>F1967-'Estatística'!$D$6/'Estatística'!$D$10</f>
        <v>13.73698037</v>
      </c>
      <c r="H1967" s="23">
        <v>45283.0</v>
      </c>
      <c r="I1967" s="24" t="str">
        <f t="shared" si="1"/>
        <v>dez.</v>
      </c>
      <c r="O1967" s="8"/>
    </row>
    <row r="1968" ht="15.75" customHeight="1">
      <c r="A1968" s="9">
        <v>100.0</v>
      </c>
      <c r="B1968" s="9" t="s">
        <v>48</v>
      </c>
      <c r="C1968" s="9" t="s">
        <v>49</v>
      </c>
      <c r="D1968" s="10" t="s">
        <v>30</v>
      </c>
      <c r="E1968" s="11" t="s">
        <v>72</v>
      </c>
      <c r="F1968" s="12">
        <v>18.33</v>
      </c>
      <c r="G1968" s="12">
        <f>F1968-'Estatística'!$D$6/'Estatística'!$D$10</f>
        <v>17.32698037</v>
      </c>
      <c r="H1968" s="13">
        <v>45283.0</v>
      </c>
      <c r="I1968" s="14" t="str">
        <f t="shared" si="1"/>
        <v>dez.</v>
      </c>
      <c r="O1968" s="8"/>
    </row>
    <row r="1969" ht="15.75" customHeight="1">
      <c r="A1969" s="19">
        <v>93.0</v>
      </c>
      <c r="B1969" s="19" t="s">
        <v>129</v>
      </c>
      <c r="C1969" s="19" t="s">
        <v>130</v>
      </c>
      <c r="D1969" s="20" t="s">
        <v>30</v>
      </c>
      <c r="E1969" s="21" t="s">
        <v>52</v>
      </c>
      <c r="F1969" s="22">
        <v>56.92</v>
      </c>
      <c r="G1969" s="22">
        <f>F1969-'Estatística'!$D$6/'Estatística'!$D$10</f>
        <v>55.91698037</v>
      </c>
      <c r="H1969" s="23">
        <v>45283.0</v>
      </c>
      <c r="I1969" s="24" t="str">
        <f t="shared" si="1"/>
        <v>dez.</v>
      </c>
      <c r="O1969" s="8"/>
    </row>
    <row r="1970" ht="15.75" customHeight="1">
      <c r="A1970" s="9">
        <v>34.0</v>
      </c>
      <c r="B1970" s="9" t="s">
        <v>177</v>
      </c>
      <c r="C1970" s="9" t="s">
        <v>178</v>
      </c>
      <c r="D1970" s="10" t="s">
        <v>11</v>
      </c>
      <c r="E1970" s="11" t="s">
        <v>43</v>
      </c>
      <c r="F1970" s="12">
        <v>18.37</v>
      </c>
      <c r="G1970" s="12">
        <f>F1970-'Estatística'!$D$6/'Estatística'!$D$10</f>
        <v>17.36698037</v>
      </c>
      <c r="H1970" s="13">
        <v>45283.0</v>
      </c>
      <c r="I1970" s="14" t="str">
        <f t="shared" si="1"/>
        <v>dez.</v>
      </c>
      <c r="O1970" s="8"/>
    </row>
    <row r="1971" ht="15.75" customHeight="1">
      <c r="A1971" s="19">
        <v>76.0</v>
      </c>
      <c r="B1971" s="19" t="s">
        <v>213</v>
      </c>
      <c r="C1971" s="19" t="s">
        <v>214</v>
      </c>
      <c r="D1971" s="20" t="s">
        <v>30</v>
      </c>
      <c r="E1971" s="21" t="s">
        <v>72</v>
      </c>
      <c r="F1971" s="22">
        <v>15.16</v>
      </c>
      <c r="G1971" s="22">
        <f>F1971-'Estatística'!$D$6/'Estatística'!$D$10</f>
        <v>14.15698037</v>
      </c>
      <c r="H1971" s="23">
        <v>45283.0</v>
      </c>
      <c r="I1971" s="24" t="str">
        <f t="shared" si="1"/>
        <v>dez.</v>
      </c>
      <c r="O1971" s="8"/>
    </row>
    <row r="1972" ht="15.75" customHeight="1">
      <c r="A1972" s="9">
        <v>69.0</v>
      </c>
      <c r="B1972" s="9" t="s">
        <v>108</v>
      </c>
      <c r="C1972" s="9" t="s">
        <v>145</v>
      </c>
      <c r="D1972" s="10" t="s">
        <v>11</v>
      </c>
      <c r="E1972" s="11" t="s">
        <v>88</v>
      </c>
      <c r="F1972" s="12">
        <v>37.22</v>
      </c>
      <c r="G1972" s="12">
        <f>F1972-'Estatística'!$D$6/'Estatística'!$D$10</f>
        <v>36.21698037</v>
      </c>
      <c r="H1972" s="13">
        <v>45283.0</v>
      </c>
      <c r="I1972" s="14" t="str">
        <f t="shared" si="1"/>
        <v>dez.</v>
      </c>
      <c r="O1972" s="8"/>
    </row>
    <row r="1973" ht="15.75" customHeight="1">
      <c r="A1973" s="19">
        <v>83.0</v>
      </c>
      <c r="B1973" s="19" t="s">
        <v>98</v>
      </c>
      <c r="C1973" s="19" t="s">
        <v>99</v>
      </c>
      <c r="D1973" s="20" t="s">
        <v>30</v>
      </c>
      <c r="E1973" s="21" t="s">
        <v>56</v>
      </c>
      <c r="F1973" s="22">
        <v>60.53</v>
      </c>
      <c r="G1973" s="22">
        <f>F1973-'Estatística'!$D$6/'Estatística'!$D$10</f>
        <v>59.52698037</v>
      </c>
      <c r="H1973" s="23">
        <v>45283.0</v>
      </c>
      <c r="I1973" s="24" t="str">
        <f t="shared" si="1"/>
        <v>dez.</v>
      </c>
      <c r="O1973" s="8"/>
    </row>
    <row r="1974" ht="15.75" customHeight="1">
      <c r="A1974" s="9">
        <v>6.0</v>
      </c>
      <c r="B1974" s="9" t="s">
        <v>183</v>
      </c>
      <c r="C1974" s="9" t="s">
        <v>184</v>
      </c>
      <c r="D1974" s="10" t="s">
        <v>30</v>
      </c>
      <c r="E1974" s="11" t="s">
        <v>39</v>
      </c>
      <c r="F1974" s="12">
        <v>39.31</v>
      </c>
      <c r="G1974" s="12">
        <f>F1974-'Estatística'!$D$6/'Estatística'!$D$10</f>
        <v>38.30698037</v>
      </c>
      <c r="H1974" s="13">
        <v>45284.0</v>
      </c>
      <c r="I1974" s="14" t="str">
        <f t="shared" si="1"/>
        <v>dez.</v>
      </c>
      <c r="O1974" s="8"/>
    </row>
    <row r="1975" ht="15.75" customHeight="1">
      <c r="A1975" s="19">
        <v>37.0</v>
      </c>
      <c r="B1975" s="19" t="s">
        <v>245</v>
      </c>
      <c r="C1975" s="19" t="s">
        <v>246</v>
      </c>
      <c r="D1975" s="20" t="s">
        <v>30</v>
      </c>
      <c r="E1975" s="21" t="s">
        <v>31</v>
      </c>
      <c r="F1975" s="22">
        <v>43.82</v>
      </c>
      <c r="G1975" s="22">
        <f>F1975-'Estatística'!$D$6/'Estatística'!$D$10</f>
        <v>42.81698037</v>
      </c>
      <c r="H1975" s="23">
        <v>45284.0</v>
      </c>
      <c r="I1975" s="24" t="str">
        <f t="shared" si="1"/>
        <v>dez.</v>
      </c>
      <c r="O1975" s="8"/>
    </row>
    <row r="1976" ht="15.75" customHeight="1">
      <c r="A1976" s="9">
        <v>38.0</v>
      </c>
      <c r="B1976" s="9" t="s">
        <v>116</v>
      </c>
      <c r="C1976" s="9" t="s">
        <v>117</v>
      </c>
      <c r="D1976" s="10" t="s">
        <v>11</v>
      </c>
      <c r="E1976" s="11" t="s">
        <v>76</v>
      </c>
      <c r="F1976" s="12">
        <v>11.37</v>
      </c>
      <c r="G1976" s="12">
        <f>F1976-'Estatística'!$D$6/'Estatística'!$D$10</f>
        <v>10.36698037</v>
      </c>
      <c r="H1976" s="13">
        <v>45284.0</v>
      </c>
      <c r="I1976" s="14" t="str">
        <f t="shared" si="1"/>
        <v>dez.</v>
      </c>
      <c r="O1976" s="8"/>
    </row>
    <row r="1977" ht="15.75" customHeight="1">
      <c r="A1977" s="19">
        <v>47.0</v>
      </c>
      <c r="B1977" s="19" t="s">
        <v>120</v>
      </c>
      <c r="C1977" s="19" t="s">
        <v>121</v>
      </c>
      <c r="D1977" s="20" t="s">
        <v>11</v>
      </c>
      <c r="E1977" s="21" t="s">
        <v>31</v>
      </c>
      <c r="F1977" s="22">
        <v>38.98</v>
      </c>
      <c r="G1977" s="22">
        <f>F1977-'Estatística'!$D$6/'Estatística'!$D$10</f>
        <v>37.97698037</v>
      </c>
      <c r="H1977" s="23">
        <v>45284.0</v>
      </c>
      <c r="I1977" s="24" t="str">
        <f t="shared" si="1"/>
        <v>dez.</v>
      </c>
      <c r="O1977" s="8"/>
    </row>
    <row r="1978" ht="15.75" customHeight="1">
      <c r="A1978" s="9">
        <v>58.0</v>
      </c>
      <c r="B1978" s="9" t="s">
        <v>165</v>
      </c>
      <c r="C1978" s="9" t="s">
        <v>166</v>
      </c>
      <c r="D1978" s="10" t="s">
        <v>11</v>
      </c>
      <c r="E1978" s="11" t="s">
        <v>79</v>
      </c>
      <c r="F1978" s="12">
        <v>29.46</v>
      </c>
      <c r="G1978" s="12">
        <f>F1978-'Estatística'!$D$6/'Estatística'!$D$10</f>
        <v>28.45698037</v>
      </c>
      <c r="H1978" s="13">
        <v>45284.0</v>
      </c>
      <c r="I1978" s="14" t="str">
        <f t="shared" si="1"/>
        <v>dez.</v>
      </c>
      <c r="O1978" s="8"/>
    </row>
    <row r="1979" ht="15.75" customHeight="1">
      <c r="A1979" s="19">
        <v>85.0</v>
      </c>
      <c r="B1979" s="19" t="s">
        <v>198</v>
      </c>
      <c r="C1979" s="19" t="s">
        <v>199</v>
      </c>
      <c r="D1979" s="20" t="s">
        <v>30</v>
      </c>
      <c r="E1979" s="21" t="s">
        <v>76</v>
      </c>
      <c r="F1979" s="22">
        <v>11.9</v>
      </c>
      <c r="G1979" s="22">
        <f>F1979-'Estatística'!$D$6/'Estatística'!$D$10</f>
        <v>10.89698037</v>
      </c>
      <c r="H1979" s="23">
        <v>45284.0</v>
      </c>
      <c r="I1979" s="24" t="str">
        <f t="shared" si="1"/>
        <v>dez.</v>
      </c>
      <c r="O1979" s="8"/>
    </row>
    <row r="1980" ht="15.75" customHeight="1">
      <c r="A1980" s="9">
        <v>94.0</v>
      </c>
      <c r="B1980" s="9" t="s">
        <v>207</v>
      </c>
      <c r="C1980" s="9" t="s">
        <v>237</v>
      </c>
      <c r="D1980" s="10" t="s">
        <v>30</v>
      </c>
      <c r="E1980" s="11" t="s">
        <v>31</v>
      </c>
      <c r="F1980" s="12">
        <v>37.16</v>
      </c>
      <c r="G1980" s="12">
        <f>F1980-'Estatística'!$D$6/'Estatística'!$D$10</f>
        <v>36.15698037</v>
      </c>
      <c r="H1980" s="13">
        <v>45285.0</v>
      </c>
      <c r="I1980" s="14" t="str">
        <f t="shared" si="1"/>
        <v>dez.</v>
      </c>
      <c r="O1980" s="8"/>
    </row>
    <row r="1981" ht="15.75" customHeight="1">
      <c r="A1981" s="19">
        <v>44.0</v>
      </c>
      <c r="B1981" s="19" t="s">
        <v>215</v>
      </c>
      <c r="C1981" s="19" t="s">
        <v>216</v>
      </c>
      <c r="D1981" s="20" t="s">
        <v>11</v>
      </c>
      <c r="E1981" s="21" t="s">
        <v>39</v>
      </c>
      <c r="F1981" s="22">
        <v>34.92</v>
      </c>
      <c r="G1981" s="22">
        <f>F1981-'Estatística'!$D$6/'Estatística'!$D$10</f>
        <v>33.91698037</v>
      </c>
      <c r="H1981" s="23">
        <v>45285.0</v>
      </c>
      <c r="I1981" s="24" t="str">
        <f t="shared" si="1"/>
        <v>dez.</v>
      </c>
      <c r="O1981" s="8"/>
    </row>
    <row r="1982" ht="15.75" customHeight="1">
      <c r="A1982" s="9">
        <v>100.0</v>
      </c>
      <c r="B1982" s="9" t="s">
        <v>48</v>
      </c>
      <c r="C1982" s="9" t="s">
        <v>49</v>
      </c>
      <c r="D1982" s="10" t="s">
        <v>30</v>
      </c>
      <c r="E1982" s="11" t="s">
        <v>94</v>
      </c>
      <c r="F1982" s="12">
        <v>30.03</v>
      </c>
      <c r="G1982" s="12">
        <f>F1982-'Estatística'!$D$6/'Estatística'!$D$10</f>
        <v>29.02698037</v>
      </c>
      <c r="H1982" s="13">
        <v>45286.0</v>
      </c>
      <c r="I1982" s="14" t="str">
        <f t="shared" si="1"/>
        <v>dez.</v>
      </c>
      <c r="O1982" s="8"/>
    </row>
    <row r="1983" ht="15.75" customHeight="1">
      <c r="A1983" s="19">
        <v>60.0</v>
      </c>
      <c r="B1983" s="19" t="s">
        <v>65</v>
      </c>
      <c r="C1983" s="19" t="s">
        <v>66</v>
      </c>
      <c r="D1983" s="20" t="s">
        <v>30</v>
      </c>
      <c r="E1983" s="21" t="s">
        <v>46</v>
      </c>
      <c r="F1983" s="22">
        <v>12.59</v>
      </c>
      <c r="G1983" s="22">
        <f>F1983-'Estatística'!$D$6/'Estatística'!$D$10</f>
        <v>11.58698037</v>
      </c>
      <c r="H1983" s="23">
        <v>45286.0</v>
      </c>
      <c r="I1983" s="24" t="str">
        <f t="shared" si="1"/>
        <v>dez.</v>
      </c>
      <c r="O1983" s="8"/>
    </row>
    <row r="1984" ht="15.75" customHeight="1">
      <c r="A1984" s="9">
        <v>26.0</v>
      </c>
      <c r="B1984" s="9" t="s">
        <v>211</v>
      </c>
      <c r="C1984" s="9" t="s">
        <v>212</v>
      </c>
      <c r="D1984" s="10" t="s">
        <v>30</v>
      </c>
      <c r="E1984" s="11" t="s">
        <v>56</v>
      </c>
      <c r="F1984" s="12">
        <v>63.09</v>
      </c>
      <c r="G1984" s="12">
        <f>F1984-'Estatística'!$D$6/'Estatística'!$D$10</f>
        <v>62.08698037</v>
      </c>
      <c r="H1984" s="13">
        <v>45286.0</v>
      </c>
      <c r="I1984" s="14" t="str">
        <f t="shared" si="1"/>
        <v>dez.</v>
      </c>
      <c r="O1984" s="8"/>
    </row>
    <row r="1985" ht="15.75" customHeight="1">
      <c r="A1985" s="19">
        <v>50.0</v>
      </c>
      <c r="B1985" s="19" t="s">
        <v>33</v>
      </c>
      <c r="C1985" s="19" t="s">
        <v>34</v>
      </c>
      <c r="D1985" s="20" t="s">
        <v>30</v>
      </c>
      <c r="E1985" s="21" t="s">
        <v>56</v>
      </c>
      <c r="F1985" s="22">
        <v>64.66</v>
      </c>
      <c r="G1985" s="22">
        <f>F1985-'Estatística'!$D$6/'Estatística'!$D$10</f>
        <v>63.65698037</v>
      </c>
      <c r="H1985" s="23">
        <v>45286.0</v>
      </c>
      <c r="I1985" s="24" t="str">
        <f t="shared" si="1"/>
        <v>dez.</v>
      </c>
      <c r="O1985" s="8"/>
    </row>
    <row r="1986" ht="15.75" customHeight="1">
      <c r="A1986" s="9">
        <v>7.0</v>
      </c>
      <c r="B1986" s="9" t="s">
        <v>114</v>
      </c>
      <c r="C1986" s="9" t="s">
        <v>115</v>
      </c>
      <c r="D1986" s="10" t="s">
        <v>11</v>
      </c>
      <c r="E1986" s="11" t="s">
        <v>76</v>
      </c>
      <c r="F1986" s="12">
        <v>12.15</v>
      </c>
      <c r="G1986" s="12">
        <f>F1986-'Estatística'!$D$6/'Estatística'!$D$10</f>
        <v>11.14698037</v>
      </c>
      <c r="H1986" s="13">
        <v>45286.0</v>
      </c>
      <c r="I1986" s="14" t="str">
        <f t="shared" si="1"/>
        <v>dez.</v>
      </c>
      <c r="O1986" s="8"/>
    </row>
    <row r="1987" ht="15.75" customHeight="1">
      <c r="A1987" s="19">
        <v>89.0</v>
      </c>
      <c r="B1987" s="19" t="s">
        <v>135</v>
      </c>
      <c r="C1987" s="19" t="s">
        <v>136</v>
      </c>
      <c r="D1987" s="20" t="s">
        <v>30</v>
      </c>
      <c r="E1987" s="21" t="s">
        <v>72</v>
      </c>
      <c r="F1987" s="22">
        <v>22.9</v>
      </c>
      <c r="G1987" s="22">
        <f>F1987-'Estatística'!$D$6/'Estatística'!$D$10</f>
        <v>21.89698037</v>
      </c>
      <c r="H1987" s="23">
        <v>45286.0</v>
      </c>
      <c r="I1987" s="24" t="str">
        <f t="shared" si="1"/>
        <v>dez.</v>
      </c>
      <c r="O1987" s="8"/>
    </row>
    <row r="1988" ht="15.75" customHeight="1">
      <c r="A1988" s="9">
        <v>43.0</v>
      </c>
      <c r="B1988" s="9" t="s">
        <v>95</v>
      </c>
      <c r="C1988" s="9" t="s">
        <v>96</v>
      </c>
      <c r="D1988" s="10" t="s">
        <v>11</v>
      </c>
      <c r="E1988" s="11" t="s">
        <v>94</v>
      </c>
      <c r="F1988" s="12">
        <v>25.54</v>
      </c>
      <c r="G1988" s="12">
        <f>F1988-'Estatística'!$D$6/'Estatística'!$D$10</f>
        <v>24.53698037</v>
      </c>
      <c r="H1988" s="13">
        <v>45286.0</v>
      </c>
      <c r="I1988" s="14" t="str">
        <f t="shared" si="1"/>
        <v>dez.</v>
      </c>
      <c r="O1988" s="8"/>
    </row>
    <row r="1989" ht="15.75" customHeight="1">
      <c r="A1989" s="19">
        <v>89.0</v>
      </c>
      <c r="B1989" s="19" t="s">
        <v>135</v>
      </c>
      <c r="C1989" s="19" t="s">
        <v>136</v>
      </c>
      <c r="D1989" s="20" t="s">
        <v>11</v>
      </c>
      <c r="E1989" s="21" t="s">
        <v>82</v>
      </c>
      <c r="F1989" s="22">
        <v>12.82</v>
      </c>
      <c r="G1989" s="22">
        <f>F1989-'Estatística'!$D$6/'Estatística'!$D$10</f>
        <v>11.81698037</v>
      </c>
      <c r="H1989" s="23">
        <v>45286.0</v>
      </c>
      <c r="I1989" s="24" t="str">
        <f t="shared" si="1"/>
        <v>dez.</v>
      </c>
      <c r="O1989" s="8"/>
    </row>
    <row r="1990" ht="15.75" customHeight="1">
      <c r="A1990" s="9">
        <v>17.0</v>
      </c>
      <c r="B1990" s="9" t="s">
        <v>200</v>
      </c>
      <c r="C1990" s="9" t="s">
        <v>201</v>
      </c>
      <c r="D1990" s="10" t="s">
        <v>30</v>
      </c>
      <c r="E1990" s="11" t="s">
        <v>88</v>
      </c>
      <c r="F1990" s="12">
        <v>36.75</v>
      </c>
      <c r="G1990" s="12">
        <f>F1990-'Estatística'!$D$6/'Estatística'!$D$10</f>
        <v>35.74698037</v>
      </c>
      <c r="H1990" s="13">
        <v>45286.0</v>
      </c>
      <c r="I1990" s="14" t="str">
        <f t="shared" si="1"/>
        <v>dez.</v>
      </c>
      <c r="O1990" s="8"/>
    </row>
    <row r="1991" ht="15.75" customHeight="1">
      <c r="A1991" s="19">
        <v>11.0</v>
      </c>
      <c r="B1991" s="19" t="s">
        <v>227</v>
      </c>
      <c r="C1991" s="19" t="s">
        <v>228</v>
      </c>
      <c r="D1991" s="20" t="s">
        <v>30</v>
      </c>
      <c r="E1991" s="21" t="s">
        <v>79</v>
      </c>
      <c r="F1991" s="22">
        <v>29.02</v>
      </c>
      <c r="G1991" s="22">
        <f>F1991-'Estatística'!$D$6/'Estatística'!$D$10</f>
        <v>28.01698037</v>
      </c>
      <c r="H1991" s="23">
        <v>45286.0</v>
      </c>
      <c r="I1991" s="24" t="str">
        <f t="shared" si="1"/>
        <v>dez.</v>
      </c>
      <c r="O1991" s="8"/>
    </row>
    <row r="1992" ht="15.75" customHeight="1">
      <c r="A1992" s="9">
        <v>48.0</v>
      </c>
      <c r="B1992" s="9" t="s">
        <v>41</v>
      </c>
      <c r="C1992" s="9" t="s">
        <v>45</v>
      </c>
      <c r="D1992" s="10" t="s">
        <v>30</v>
      </c>
      <c r="E1992" s="11" t="s">
        <v>68</v>
      </c>
      <c r="F1992" s="12">
        <v>12.3</v>
      </c>
      <c r="G1992" s="12">
        <f>F1992-'Estatística'!$D$6/'Estatística'!$D$10</f>
        <v>11.29698037</v>
      </c>
      <c r="H1992" s="13">
        <v>45286.0</v>
      </c>
      <c r="I1992" s="14" t="str">
        <f t="shared" si="1"/>
        <v>dez.</v>
      </c>
      <c r="O1992" s="8"/>
    </row>
    <row r="1993" ht="15.75" customHeight="1">
      <c r="A1993" s="19">
        <v>56.0</v>
      </c>
      <c r="B1993" s="19" t="s">
        <v>127</v>
      </c>
      <c r="C1993" s="19" t="s">
        <v>128</v>
      </c>
      <c r="D1993" s="20" t="s">
        <v>30</v>
      </c>
      <c r="E1993" s="21" t="s">
        <v>39</v>
      </c>
      <c r="F1993" s="22">
        <v>27.73</v>
      </c>
      <c r="G1993" s="22">
        <f>F1993-'Estatística'!$D$6/'Estatística'!$D$10</f>
        <v>26.72698037</v>
      </c>
      <c r="H1993" s="23">
        <v>45287.0</v>
      </c>
      <c r="I1993" s="24" t="str">
        <f t="shared" si="1"/>
        <v>dez.</v>
      </c>
      <c r="O1993" s="8"/>
    </row>
    <row r="1994" ht="15.75" customHeight="1">
      <c r="A1994" s="9">
        <v>55.0</v>
      </c>
      <c r="B1994" s="9" t="s">
        <v>202</v>
      </c>
      <c r="C1994" s="9" t="s">
        <v>203</v>
      </c>
      <c r="D1994" s="10" t="s">
        <v>11</v>
      </c>
      <c r="E1994" s="11" t="s">
        <v>52</v>
      </c>
      <c r="F1994" s="12">
        <v>67.79</v>
      </c>
      <c r="G1994" s="12">
        <f>F1994-'Estatística'!$D$6/'Estatística'!$D$10</f>
        <v>66.78698037</v>
      </c>
      <c r="H1994" s="13">
        <v>45287.0</v>
      </c>
      <c r="I1994" s="14" t="str">
        <f t="shared" si="1"/>
        <v>dez.</v>
      </c>
      <c r="O1994" s="8"/>
    </row>
    <row r="1995" ht="15.75" customHeight="1">
      <c r="A1995" s="19">
        <v>50.0</v>
      </c>
      <c r="B1995" s="19" t="s">
        <v>33</v>
      </c>
      <c r="C1995" s="19" t="s">
        <v>34</v>
      </c>
      <c r="D1995" s="20" t="s">
        <v>30</v>
      </c>
      <c r="E1995" s="21" t="s">
        <v>12</v>
      </c>
      <c r="F1995" s="22">
        <v>10.33</v>
      </c>
      <c r="G1995" s="22">
        <f>F1995-'Estatística'!$D$6/'Estatística'!$D$10</f>
        <v>9.326980371</v>
      </c>
      <c r="H1995" s="23">
        <v>45287.0</v>
      </c>
      <c r="I1995" s="24" t="str">
        <f t="shared" si="1"/>
        <v>dez.</v>
      </c>
      <c r="O1995" s="8"/>
    </row>
    <row r="1996" ht="15.75" customHeight="1">
      <c r="A1996" s="9">
        <v>43.0</v>
      </c>
      <c r="B1996" s="9" t="s">
        <v>95</v>
      </c>
      <c r="C1996" s="9" t="s">
        <v>96</v>
      </c>
      <c r="D1996" s="10" t="s">
        <v>11</v>
      </c>
      <c r="E1996" s="11" t="s">
        <v>56</v>
      </c>
      <c r="F1996" s="12">
        <v>70.68</v>
      </c>
      <c r="G1996" s="12">
        <f>F1996-'Estatística'!$D$6/'Estatística'!$D$10</f>
        <v>69.67698037</v>
      </c>
      <c r="H1996" s="13">
        <v>45287.0</v>
      </c>
      <c r="I1996" s="14" t="str">
        <f t="shared" si="1"/>
        <v>dez.</v>
      </c>
      <c r="O1996" s="8"/>
    </row>
    <row r="1997" ht="15.75" customHeight="1">
      <c r="A1997" s="19">
        <v>67.0</v>
      </c>
      <c r="B1997" s="19" t="s">
        <v>204</v>
      </c>
      <c r="C1997" s="19" t="s">
        <v>205</v>
      </c>
      <c r="D1997" s="20" t="s">
        <v>11</v>
      </c>
      <c r="E1997" s="21" t="s">
        <v>85</v>
      </c>
      <c r="F1997" s="22">
        <v>12.95</v>
      </c>
      <c r="G1997" s="22">
        <f>F1997-'Estatística'!$D$6/'Estatística'!$D$10</f>
        <v>11.94698037</v>
      </c>
      <c r="H1997" s="23">
        <v>45287.0</v>
      </c>
      <c r="I1997" s="24" t="str">
        <f t="shared" si="1"/>
        <v>dez.</v>
      </c>
      <c r="O1997" s="8"/>
    </row>
    <row r="1998" ht="15.75" customHeight="1">
      <c r="A1998" s="9">
        <v>85.0</v>
      </c>
      <c r="B1998" s="9" t="s">
        <v>198</v>
      </c>
      <c r="C1998" s="9" t="s">
        <v>199</v>
      </c>
      <c r="D1998" s="10" t="s">
        <v>11</v>
      </c>
      <c r="E1998" s="11" t="s">
        <v>79</v>
      </c>
      <c r="F1998" s="12">
        <v>36.95</v>
      </c>
      <c r="G1998" s="12">
        <f>F1998-'Estatística'!$D$6/'Estatística'!$D$10</f>
        <v>35.94698037</v>
      </c>
      <c r="H1998" s="13">
        <v>45288.0</v>
      </c>
      <c r="I1998" s="14" t="str">
        <f t="shared" si="1"/>
        <v>dez.</v>
      </c>
      <c r="O1998" s="8"/>
    </row>
    <row r="1999" ht="15.75" customHeight="1">
      <c r="A1999" s="19">
        <v>17.0</v>
      </c>
      <c r="B1999" s="19" t="s">
        <v>200</v>
      </c>
      <c r="C1999" s="19" t="s">
        <v>201</v>
      </c>
      <c r="D1999" s="20" t="s">
        <v>30</v>
      </c>
      <c r="E1999" s="21" t="s">
        <v>43</v>
      </c>
      <c r="F1999" s="22">
        <v>18.44</v>
      </c>
      <c r="G1999" s="22">
        <f>F1999-'Estatística'!$D$6/'Estatística'!$D$10</f>
        <v>17.43698037</v>
      </c>
      <c r="H1999" s="23">
        <v>45288.0</v>
      </c>
      <c r="I1999" s="24" t="str">
        <f t="shared" si="1"/>
        <v>dez.</v>
      </c>
      <c r="O1999" s="8"/>
    </row>
    <row r="2000" ht="15.75" customHeight="1">
      <c r="A2000" s="9">
        <v>35.0</v>
      </c>
      <c r="B2000" s="9" t="s">
        <v>125</v>
      </c>
      <c r="C2000" s="9" t="s">
        <v>126</v>
      </c>
      <c r="D2000" s="10" t="s">
        <v>30</v>
      </c>
      <c r="E2000" s="11" t="s">
        <v>88</v>
      </c>
      <c r="F2000" s="12">
        <v>41.7</v>
      </c>
      <c r="G2000" s="12">
        <f>F2000-'Estatística'!$D$6/'Estatística'!$D$10</f>
        <v>40.69698037</v>
      </c>
      <c r="H2000" s="13">
        <v>45288.0</v>
      </c>
      <c r="I2000" s="14" t="str">
        <f t="shared" si="1"/>
        <v>dez.</v>
      </c>
      <c r="O2000" s="8"/>
    </row>
    <row r="2001" ht="15.75" customHeight="1">
      <c r="A2001" s="19">
        <v>33.0</v>
      </c>
      <c r="B2001" s="19" t="s">
        <v>191</v>
      </c>
      <c r="C2001" s="19" t="s">
        <v>192</v>
      </c>
      <c r="D2001" s="20" t="s">
        <v>11</v>
      </c>
      <c r="E2001" s="21" t="s">
        <v>35</v>
      </c>
      <c r="F2001" s="22">
        <v>20.52</v>
      </c>
      <c r="G2001" s="22">
        <f>F2001-'Estatística'!$D$6/'Estatística'!$D$10</f>
        <v>19.51698037</v>
      </c>
      <c r="H2001" s="23">
        <v>45288.0</v>
      </c>
      <c r="I2001" s="24" t="str">
        <f t="shared" si="1"/>
        <v>dez.</v>
      </c>
      <c r="O2001" s="8"/>
    </row>
    <row r="2002" ht="15.75" customHeight="1">
      <c r="A2002" s="28"/>
      <c r="B2002" s="28"/>
      <c r="C2002" s="28"/>
      <c r="E2002" s="14"/>
      <c r="F2002" s="12"/>
      <c r="G2002" s="28"/>
      <c r="H2002" s="13"/>
      <c r="I2002" s="14"/>
      <c r="O2002" s="8"/>
    </row>
    <row r="2003" ht="15.75" customHeight="1">
      <c r="A2003" s="29"/>
      <c r="B2003" s="29"/>
      <c r="C2003" s="29"/>
      <c r="E2003" s="24"/>
      <c r="F2003" s="22"/>
      <c r="G2003" s="29"/>
      <c r="H2003" s="23"/>
      <c r="I2003" s="24"/>
      <c r="O2003" s="8"/>
    </row>
    <row r="2004" ht="15.75" customHeight="1">
      <c r="A2004" s="30"/>
      <c r="B2004" s="30"/>
      <c r="C2004" s="30"/>
      <c r="E2004" s="31"/>
      <c r="F2004" s="32"/>
      <c r="G2004" s="30"/>
      <c r="H2004" s="33"/>
      <c r="I2004" s="31"/>
      <c r="O2004" s="8"/>
    </row>
  </sheetData>
  <autoFilter ref="$A$1:$I$2004"/>
  <customSheetViews>
    <customSheetView guid="{C667E12F-CDC0-4C6D-A8CF-45319C7AB849}" filter="1" showAutoFilter="1">
      <autoFilter ref="$A$1:$I$2004">
        <filterColumn colId="3">
          <filters blank="1">
            <filter val="Venda"/>
          </filters>
        </filterColumn>
      </autoFilter>
    </customSheetView>
    <customSheetView guid="{4000B806-4495-4DE0-83BE-B516A7EB2EC4}" filter="1" showAutoFilter="1">
      <autoFilter ref="$A$1:$I$2004"/>
    </customSheetView>
    <customSheetView guid="{99F2AF2E-9226-4557-8777-29DE57778F7A}" filter="1" showAutoFilter="1">
      <autoFilter ref="$A$1:$I$2004">
        <filterColumn colId="3">
          <filters blank="1">
            <filter val="Compra"/>
          </filters>
        </filterColumn>
      </autoFilter>
    </customSheetView>
    <customSheetView guid="{4000B806-4495-4DE0-83BE-B516A7EB2EC4}" filter="1" showAutoFilter="1">
      <autoFilter ref="$A$1:$I$2004"/>
    </customSheetView>
  </customSheetViews>
  <conditionalFormatting sqref="D1:D2004">
    <cfRule type="containsText" dxfId="0" priority="1" operator="containsText" text="Compra">
      <formula>NOT(ISERROR(SEARCH(("Compra"),(D1))))</formula>
    </cfRule>
  </conditionalFormatting>
  <conditionalFormatting sqref="D1:D2004">
    <cfRule type="containsText" dxfId="1" priority="2" operator="containsText" text="Venda">
      <formula>NOT(ISERROR(SEARCH(("Venda"),(D1))))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7.75"/>
    <col customWidth="1" min="13" max="13" width="24.75"/>
    <col customWidth="1" min="14" max="14" width="12.13"/>
  </cols>
  <sheetData>
    <row r="1">
      <c r="A1" s="34" t="s">
        <v>247</v>
      </c>
      <c r="B1" s="35" t="s">
        <v>5</v>
      </c>
    </row>
    <row r="2">
      <c r="A2" s="36" t="str">
        <f t="array" ref="A2:A103">UNIQUE(Cliente!A:A,)</f>
        <v>Código Cliente</v>
      </c>
      <c r="B2" s="37">
        <v>9.238422467680474</v>
      </c>
    </row>
    <row r="3">
      <c r="A3" s="36">
        <v>30.0</v>
      </c>
      <c r="B3" s="37">
        <v>52.23842246768047</v>
      </c>
      <c r="C3" s="18" t="s">
        <v>248</v>
      </c>
      <c r="D3" s="38">
        <f>SUM(B:B)</f>
        <v>48782.08494</v>
      </c>
    </row>
    <row r="4">
      <c r="A4" s="36">
        <v>78.0</v>
      </c>
      <c r="B4" s="37">
        <v>20.628422467680476</v>
      </c>
      <c r="C4" s="18" t="s">
        <v>249</v>
      </c>
      <c r="D4" s="38">
        <f>MIN(B:B)</f>
        <v>0.2384224677</v>
      </c>
    </row>
    <row r="5">
      <c r="A5" s="36">
        <v>50.0</v>
      </c>
      <c r="B5" s="37">
        <v>38.67842246768048</v>
      </c>
      <c r="C5" s="18" t="s">
        <v>250</v>
      </c>
      <c r="D5" s="38">
        <f>MAX(B:B)</f>
        <v>79.21842247</v>
      </c>
    </row>
    <row r="6">
      <c r="A6" s="36">
        <v>80.0</v>
      </c>
      <c r="B6" s="37">
        <v>16.898422467680476</v>
      </c>
      <c r="C6" s="18" t="s">
        <v>251</v>
      </c>
      <c r="D6" s="38">
        <f t="shared" ref="D6:D7" si="1">MEDIAN(B:B)</f>
        <v>18.18342247</v>
      </c>
    </row>
    <row r="7">
      <c r="A7" s="36">
        <v>68.0</v>
      </c>
      <c r="B7" s="37">
        <v>10.888422467680472</v>
      </c>
      <c r="C7" s="18" t="s">
        <v>252</v>
      </c>
      <c r="D7" s="38">
        <f t="shared" si="1"/>
        <v>18.18342247</v>
      </c>
    </row>
    <row r="8">
      <c r="A8" s="36">
        <v>48.0</v>
      </c>
      <c r="B8" s="37">
        <v>23.468422467680476</v>
      </c>
      <c r="C8" s="18" t="s">
        <v>253</v>
      </c>
      <c r="D8" s="38">
        <f>MODE(B:B)</f>
        <v>9.648422468</v>
      </c>
    </row>
    <row r="9">
      <c r="A9" s="36">
        <v>100.0</v>
      </c>
      <c r="B9" s="37">
        <v>45.67842246768048</v>
      </c>
      <c r="C9" s="18" t="s">
        <v>254</v>
      </c>
      <c r="D9" s="38">
        <f>VAR(B:B)</f>
        <v>328.6490598</v>
      </c>
    </row>
    <row r="10">
      <c r="A10" s="36">
        <v>81.0</v>
      </c>
      <c r="B10" s="37">
        <v>64.32842246768047</v>
      </c>
      <c r="C10" s="18" t="s">
        <v>255</v>
      </c>
      <c r="D10" s="38">
        <f>STDEV(B:B)</f>
        <v>18.12868059</v>
      </c>
      <c r="L10" s="39" t="s">
        <v>256</v>
      </c>
      <c r="M10" s="40"/>
      <c r="N10" s="41" t="s">
        <v>257</v>
      </c>
      <c r="O10" s="42" t="s">
        <v>11</v>
      </c>
      <c r="P10" s="42" t="s">
        <v>30</v>
      </c>
    </row>
    <row r="11">
      <c r="A11" s="36">
        <v>15.0</v>
      </c>
      <c r="B11" s="37">
        <v>55.618422467680475</v>
      </c>
      <c r="L11" s="43" t="s">
        <v>258</v>
      </c>
      <c r="M11" s="28" t="str">
        <f>VLOOKUP(N11,Cliente!A:F,3,FALSE)</f>
        <v>camila.rocha10@exemplo.com</v>
      </c>
      <c r="N11" s="44">
        <v>50.0</v>
      </c>
      <c r="O11" s="45">
        <f>COUNTIFS(Cliente!B:B,M12,Cliente!D:D,O10)</f>
        <v>10</v>
      </c>
      <c r="P11" s="45">
        <f>COUNTIFS(Cliente!B:B,M12,Cliente!D:D,P10)</f>
        <v>10</v>
      </c>
    </row>
    <row r="12">
      <c r="A12" s="36">
        <v>86.0</v>
      </c>
      <c r="B12" s="37">
        <v>25.928422467680473</v>
      </c>
      <c r="L12" s="46" t="s">
        <v>1</v>
      </c>
      <c r="M12" s="47" t="str">
        <f>VLOOKUP(N11,Cliente!A:F,2,FALSE)</f>
        <v>Camila Rocha</v>
      </c>
      <c r="N12" s="48"/>
      <c r="O12" s="49">
        <f>SUMIFS(Cliente!F:F,Cliente!B:B,M12,Cliente!D:D,O10)</f>
        <v>373.0542247</v>
      </c>
      <c r="P12" s="49">
        <f>SUMIFS(Cliente!F:F,Cliente!B:B,M12,Cliente!D:D,P10)</f>
        <v>235.0642247</v>
      </c>
    </row>
    <row r="13">
      <c r="A13" s="36">
        <v>60.0</v>
      </c>
      <c r="B13" s="37">
        <v>77.87842246768047</v>
      </c>
      <c r="M13" s="50"/>
      <c r="N13" s="50"/>
      <c r="O13" s="51"/>
      <c r="P13" s="51"/>
    </row>
    <row r="14">
      <c r="A14" s="36">
        <v>97.0</v>
      </c>
      <c r="B14" s="37">
        <v>29.128422467680476</v>
      </c>
      <c r="M14" s="52"/>
      <c r="N14" s="52"/>
      <c r="O14" s="53"/>
      <c r="P14" s="53"/>
    </row>
    <row r="15">
      <c r="A15" s="36">
        <v>99.0</v>
      </c>
      <c r="B15" s="37">
        <v>9.848422467680473</v>
      </c>
    </row>
    <row r="16">
      <c r="A16" s="36">
        <v>28.0</v>
      </c>
      <c r="B16" s="37">
        <v>21.968422467680476</v>
      </c>
    </row>
    <row r="17">
      <c r="A17" s="36">
        <v>3.0</v>
      </c>
      <c r="B17" s="37">
        <v>19.348422467680475</v>
      </c>
    </row>
    <row r="18">
      <c r="A18" s="36">
        <v>2.0</v>
      </c>
      <c r="B18" s="37">
        <v>68.67842246768046</v>
      </c>
    </row>
    <row r="19">
      <c r="A19" s="36">
        <v>54.0</v>
      </c>
      <c r="B19" s="37">
        <v>15.198422467680475</v>
      </c>
    </row>
    <row r="20">
      <c r="A20" s="36">
        <v>39.0</v>
      </c>
      <c r="B20" s="37">
        <v>34.898422467680476</v>
      </c>
    </row>
    <row r="21">
      <c r="A21" s="36">
        <v>36.0</v>
      </c>
      <c r="B21" s="37">
        <v>11.438422467680473</v>
      </c>
    </row>
    <row r="22">
      <c r="A22" s="36">
        <v>43.0</v>
      </c>
      <c r="B22" s="37">
        <v>37.868422467680475</v>
      </c>
    </row>
    <row r="23">
      <c r="A23" s="36">
        <v>83.0</v>
      </c>
      <c r="B23" s="37">
        <v>48.34842246768047</v>
      </c>
    </row>
    <row r="24">
      <c r="A24" s="36">
        <v>79.0</v>
      </c>
      <c r="B24" s="37">
        <v>31.218422467680476</v>
      </c>
    </row>
    <row r="25">
      <c r="A25" s="36">
        <v>59.0</v>
      </c>
      <c r="B25" s="37">
        <v>39.118422467680475</v>
      </c>
    </row>
    <row r="26">
      <c r="A26" s="36">
        <v>61.0</v>
      </c>
      <c r="B26" s="37">
        <v>9.058422467680472</v>
      </c>
    </row>
    <row r="27">
      <c r="A27" s="36">
        <v>8.0</v>
      </c>
      <c r="B27" s="37">
        <v>69.19842246768047</v>
      </c>
    </row>
    <row r="28">
      <c r="A28" s="36">
        <v>95.0</v>
      </c>
      <c r="B28" s="37">
        <v>73.41842246768047</v>
      </c>
    </row>
    <row r="29">
      <c r="A29" s="36">
        <v>91.0</v>
      </c>
      <c r="B29" s="37">
        <v>46.298422467680474</v>
      </c>
    </row>
    <row r="30">
      <c r="A30" s="36">
        <v>7.0</v>
      </c>
      <c r="B30" s="37">
        <v>10.198422467680473</v>
      </c>
    </row>
    <row r="31">
      <c r="A31" s="36">
        <v>38.0</v>
      </c>
      <c r="B31" s="37">
        <v>14.068422467680474</v>
      </c>
    </row>
    <row r="32">
      <c r="A32" s="36">
        <v>4.0</v>
      </c>
      <c r="B32" s="37">
        <v>53.63842246768048</v>
      </c>
    </row>
    <row r="33">
      <c r="A33" s="36">
        <v>47.0</v>
      </c>
      <c r="B33" s="37">
        <v>35.10842246768048</v>
      </c>
    </row>
    <row r="34">
      <c r="A34" s="36">
        <v>29.0</v>
      </c>
      <c r="B34" s="37">
        <v>9.228422467680472</v>
      </c>
    </row>
    <row r="35">
      <c r="A35" s="36">
        <v>74.0</v>
      </c>
      <c r="B35" s="37">
        <v>36.56842246768048</v>
      </c>
    </row>
    <row r="36">
      <c r="A36" s="36">
        <v>35.0</v>
      </c>
      <c r="B36" s="37">
        <v>71.35842246768047</v>
      </c>
    </row>
    <row r="37">
      <c r="A37" s="36">
        <v>56.0</v>
      </c>
      <c r="B37" s="37">
        <v>77.19842246768047</v>
      </c>
    </row>
    <row r="38">
      <c r="A38" s="36">
        <v>93.0</v>
      </c>
      <c r="B38" s="37">
        <v>20.488422467680476</v>
      </c>
    </row>
    <row r="39">
      <c r="A39" s="36">
        <v>22.0</v>
      </c>
      <c r="B39" s="37">
        <v>2.108422467680474</v>
      </c>
    </row>
    <row r="40">
      <c r="A40" s="36">
        <v>72.0</v>
      </c>
      <c r="B40" s="37">
        <v>9.268422467680473</v>
      </c>
    </row>
    <row r="41">
      <c r="A41" s="36">
        <v>89.0</v>
      </c>
      <c r="B41" s="37">
        <v>11.028422467680473</v>
      </c>
    </row>
    <row r="42">
      <c r="A42" s="36">
        <v>13.0</v>
      </c>
      <c r="B42" s="37">
        <v>56.158422467680474</v>
      </c>
    </row>
    <row r="43">
      <c r="A43" s="36">
        <v>24.0</v>
      </c>
      <c r="B43" s="37">
        <v>7.3784224676804735</v>
      </c>
    </row>
    <row r="44">
      <c r="A44" s="36">
        <v>84.0</v>
      </c>
      <c r="B44" s="37">
        <v>45.37842246768047</v>
      </c>
    </row>
    <row r="45">
      <c r="A45" s="36">
        <v>46.0</v>
      </c>
      <c r="B45" s="37">
        <v>17.908422467680474</v>
      </c>
    </row>
    <row r="46">
      <c r="A46" s="36">
        <v>69.0</v>
      </c>
      <c r="B46" s="37">
        <v>42.23842246768047</v>
      </c>
    </row>
    <row r="47">
      <c r="A47" s="36">
        <v>32.0</v>
      </c>
      <c r="B47" s="37">
        <v>9.568422467680474</v>
      </c>
    </row>
    <row r="48">
      <c r="A48" s="36">
        <v>10.0</v>
      </c>
      <c r="B48" s="37">
        <v>0.4884224676804738</v>
      </c>
    </row>
    <row r="49">
      <c r="A49" s="36">
        <v>71.0</v>
      </c>
      <c r="B49" s="37">
        <v>40.728422467680474</v>
      </c>
    </row>
    <row r="50">
      <c r="A50" s="36">
        <v>70.0</v>
      </c>
      <c r="B50" s="37">
        <v>9.108422467680473</v>
      </c>
    </row>
    <row r="51">
      <c r="A51" s="36">
        <v>25.0</v>
      </c>
      <c r="B51" s="37">
        <v>40.898422467680476</v>
      </c>
    </row>
    <row r="52">
      <c r="A52" s="36">
        <v>62.0</v>
      </c>
      <c r="B52" s="37">
        <v>62.23842246768047</v>
      </c>
    </row>
    <row r="53">
      <c r="A53" s="36">
        <v>66.0</v>
      </c>
      <c r="B53" s="37">
        <v>27.608422467680477</v>
      </c>
    </row>
    <row r="54">
      <c r="A54" s="36">
        <v>64.0</v>
      </c>
      <c r="B54" s="37">
        <v>27.318422467680474</v>
      </c>
    </row>
    <row r="55">
      <c r="A55" s="36">
        <v>20.0</v>
      </c>
      <c r="B55" s="37">
        <v>25.658422467680474</v>
      </c>
    </row>
    <row r="56">
      <c r="A56" s="36">
        <v>96.0</v>
      </c>
      <c r="B56" s="37">
        <v>54.20842246768048</v>
      </c>
    </row>
    <row r="57">
      <c r="A57" s="36">
        <v>58.0</v>
      </c>
      <c r="B57" s="37">
        <v>75.07842246768047</v>
      </c>
    </row>
    <row r="58">
      <c r="A58" s="36">
        <v>5.0</v>
      </c>
      <c r="B58" s="37">
        <v>11.458422467680473</v>
      </c>
    </row>
    <row r="59">
      <c r="A59" s="36">
        <v>77.0</v>
      </c>
      <c r="B59" s="37">
        <v>26.328422467680475</v>
      </c>
    </row>
    <row r="60">
      <c r="A60" s="36">
        <v>42.0</v>
      </c>
      <c r="B60" s="37">
        <v>31.988422467680472</v>
      </c>
    </row>
    <row r="61">
      <c r="A61" s="36">
        <v>14.0</v>
      </c>
      <c r="B61" s="37">
        <v>36.648422467680476</v>
      </c>
    </row>
    <row r="62">
      <c r="A62" s="36">
        <v>27.0</v>
      </c>
      <c r="B62" s="37">
        <v>1.098422467680474</v>
      </c>
    </row>
    <row r="63">
      <c r="A63" s="36">
        <v>16.0</v>
      </c>
      <c r="B63" s="37">
        <v>2.0784224676804737</v>
      </c>
    </row>
    <row r="64">
      <c r="A64" s="36">
        <v>34.0</v>
      </c>
      <c r="B64" s="37">
        <v>30.798422467680474</v>
      </c>
    </row>
    <row r="65">
      <c r="A65" s="36">
        <v>49.0</v>
      </c>
      <c r="B65" s="37">
        <v>12.378422467680473</v>
      </c>
    </row>
    <row r="66">
      <c r="A66" s="36">
        <v>52.0</v>
      </c>
      <c r="B66" s="37">
        <v>40.578422467680475</v>
      </c>
    </row>
    <row r="67">
      <c r="A67" s="36">
        <v>6.0</v>
      </c>
      <c r="B67" s="37">
        <v>44.898422467680476</v>
      </c>
    </row>
    <row r="68">
      <c r="A68" s="36">
        <v>40.0</v>
      </c>
      <c r="B68" s="37">
        <v>3.638422467680474</v>
      </c>
    </row>
    <row r="69">
      <c r="A69" s="36">
        <v>21.0</v>
      </c>
      <c r="B69" s="37">
        <v>9.468422467680472</v>
      </c>
    </row>
    <row r="70">
      <c r="A70" s="36">
        <v>12.0</v>
      </c>
      <c r="B70" s="37">
        <v>9.378422467680473</v>
      </c>
    </row>
    <row r="71">
      <c r="A71" s="36">
        <v>57.0</v>
      </c>
      <c r="B71" s="37">
        <v>34.31842246768048</v>
      </c>
    </row>
    <row r="72">
      <c r="A72" s="36">
        <v>33.0</v>
      </c>
      <c r="B72" s="37">
        <v>15.738422467680474</v>
      </c>
    </row>
    <row r="73">
      <c r="A73" s="36">
        <v>19.0</v>
      </c>
      <c r="B73" s="37">
        <v>6.848422467680474</v>
      </c>
    </row>
    <row r="74">
      <c r="A74" s="36">
        <v>1.0</v>
      </c>
      <c r="B74" s="37">
        <v>59.27842246768048</v>
      </c>
    </row>
    <row r="75">
      <c r="A75" s="36">
        <v>98.0</v>
      </c>
      <c r="B75" s="37">
        <v>14.508422467680473</v>
      </c>
    </row>
    <row r="76">
      <c r="A76" s="36">
        <v>92.0</v>
      </c>
      <c r="B76" s="37">
        <v>11.348422467680473</v>
      </c>
    </row>
    <row r="77">
      <c r="A77" s="36">
        <v>85.0</v>
      </c>
      <c r="B77" s="37">
        <v>4.318422467680474</v>
      </c>
    </row>
    <row r="78">
      <c r="A78" s="36">
        <v>17.0</v>
      </c>
      <c r="B78" s="37">
        <v>10.668422467680474</v>
      </c>
    </row>
    <row r="79">
      <c r="A79" s="36">
        <v>55.0</v>
      </c>
      <c r="B79" s="37">
        <v>70.03842246768046</v>
      </c>
    </row>
    <row r="80">
      <c r="A80" s="36">
        <v>67.0</v>
      </c>
      <c r="B80" s="37">
        <v>50.408422467680474</v>
      </c>
    </row>
    <row r="81">
      <c r="A81" s="36">
        <v>88.0</v>
      </c>
      <c r="B81" s="37">
        <v>19.118422467680475</v>
      </c>
    </row>
    <row r="82">
      <c r="A82" s="36">
        <v>9.0</v>
      </c>
      <c r="B82" s="37">
        <v>9.668422467680474</v>
      </c>
    </row>
    <row r="83">
      <c r="A83" s="36">
        <v>65.0</v>
      </c>
      <c r="B83" s="37">
        <v>48.24842246768048</v>
      </c>
    </row>
    <row r="84">
      <c r="A84" s="36">
        <v>26.0</v>
      </c>
      <c r="B84" s="37">
        <v>30.078422467680475</v>
      </c>
    </row>
    <row r="85">
      <c r="A85" s="36">
        <v>76.0</v>
      </c>
      <c r="B85" s="37">
        <v>1.5584224676804739</v>
      </c>
    </row>
    <row r="86">
      <c r="A86" s="36">
        <v>44.0</v>
      </c>
      <c r="B86" s="37">
        <v>38.23842246768047</v>
      </c>
    </row>
    <row r="87">
      <c r="A87" s="36">
        <v>41.0</v>
      </c>
      <c r="B87" s="37">
        <v>30.138422467680474</v>
      </c>
    </row>
    <row r="88">
      <c r="A88" s="36">
        <v>90.0</v>
      </c>
      <c r="B88" s="37">
        <v>10.708422467680473</v>
      </c>
    </row>
    <row r="89">
      <c r="A89" s="36">
        <v>45.0</v>
      </c>
      <c r="B89" s="37">
        <v>31.198422467680473</v>
      </c>
    </row>
    <row r="90">
      <c r="A90" s="36">
        <v>73.0</v>
      </c>
      <c r="B90" s="37">
        <v>10.818422467680474</v>
      </c>
    </row>
    <row r="91">
      <c r="A91" s="36">
        <v>63.0</v>
      </c>
      <c r="B91" s="37">
        <v>7.838422467680474</v>
      </c>
    </row>
    <row r="92">
      <c r="A92" s="36">
        <v>11.0</v>
      </c>
      <c r="B92" s="37">
        <v>17.498422467680474</v>
      </c>
    </row>
    <row r="93">
      <c r="A93" s="36">
        <v>31.0</v>
      </c>
      <c r="B93" s="37">
        <v>9.648422467680474</v>
      </c>
    </row>
    <row r="94">
      <c r="A94" s="36">
        <v>82.0</v>
      </c>
      <c r="B94" s="37">
        <v>36.66842246768047</v>
      </c>
    </row>
    <row r="95">
      <c r="A95" s="36">
        <v>51.0</v>
      </c>
      <c r="B95" s="37">
        <v>29.138422467680474</v>
      </c>
    </row>
    <row r="96">
      <c r="A96" s="36">
        <v>23.0</v>
      </c>
      <c r="B96" s="37">
        <v>2.198422467680474</v>
      </c>
    </row>
    <row r="97">
      <c r="A97" s="36">
        <v>94.0</v>
      </c>
      <c r="B97" s="37">
        <v>52.37842246768047</v>
      </c>
    </row>
    <row r="98">
      <c r="A98" s="36">
        <v>75.0</v>
      </c>
      <c r="B98" s="37">
        <v>2.778422467680474</v>
      </c>
    </row>
    <row r="99">
      <c r="A99" s="36">
        <v>18.0</v>
      </c>
      <c r="B99" s="37">
        <v>10.458422467680473</v>
      </c>
    </row>
    <row r="100">
      <c r="A100" s="36">
        <v>53.0</v>
      </c>
      <c r="B100" s="37">
        <v>9.538422467680473</v>
      </c>
    </row>
    <row r="101">
      <c r="A101" s="36">
        <v>87.0</v>
      </c>
      <c r="B101" s="37">
        <v>43.728422467680474</v>
      </c>
    </row>
    <row r="102">
      <c r="A102" s="36">
        <v>37.0</v>
      </c>
      <c r="B102" s="37">
        <v>10.388422467680472</v>
      </c>
    </row>
    <row r="103">
      <c r="A103" s="36"/>
      <c r="B103" s="37">
        <v>13.518422467680473</v>
      </c>
    </row>
    <row r="104">
      <c r="A104" s="36"/>
      <c r="B104" s="37">
        <v>46.83842246768047</v>
      </c>
    </row>
    <row r="105">
      <c r="A105" s="36"/>
      <c r="B105" s="37">
        <v>20.528422467680475</v>
      </c>
    </row>
    <row r="106">
      <c r="A106" s="36"/>
      <c r="B106" s="37">
        <v>52.23842246768047</v>
      </c>
    </row>
    <row r="107">
      <c r="A107" s="36"/>
      <c r="B107" s="37">
        <v>11.528422467680473</v>
      </c>
    </row>
    <row r="108">
      <c r="A108" s="36"/>
      <c r="B108" s="37">
        <v>23.808422467680476</v>
      </c>
    </row>
    <row r="109">
      <c r="A109" s="36"/>
      <c r="B109" s="37">
        <v>1.888422467680474</v>
      </c>
    </row>
    <row r="110">
      <c r="A110" s="36"/>
      <c r="B110" s="37">
        <v>46.10842246768048</v>
      </c>
    </row>
    <row r="111">
      <c r="A111" s="36"/>
      <c r="B111" s="37">
        <v>6.498422467680474</v>
      </c>
    </row>
    <row r="112">
      <c r="A112" s="36"/>
      <c r="B112" s="37">
        <v>18.298422467680474</v>
      </c>
    </row>
    <row r="113">
      <c r="A113" s="36"/>
      <c r="B113" s="37">
        <v>11.148422467680474</v>
      </c>
    </row>
    <row r="114">
      <c r="A114" s="36"/>
      <c r="B114" s="37">
        <v>10.678422467680473</v>
      </c>
    </row>
    <row r="115">
      <c r="A115" s="36"/>
      <c r="B115" s="37">
        <v>54.688422467680475</v>
      </c>
    </row>
    <row r="116">
      <c r="A116" s="36"/>
      <c r="B116" s="37">
        <v>11.618422467680473</v>
      </c>
    </row>
    <row r="117">
      <c r="A117" s="36"/>
      <c r="B117" s="37">
        <v>73.93842246768047</v>
      </c>
    </row>
    <row r="118">
      <c r="A118" s="36"/>
      <c r="B118" s="37">
        <v>40.23842246768047</v>
      </c>
    </row>
    <row r="119">
      <c r="A119" s="36"/>
      <c r="B119" s="37">
        <v>20.358422467680477</v>
      </c>
    </row>
    <row r="120">
      <c r="A120" s="36"/>
      <c r="B120" s="37">
        <v>30.998422467680477</v>
      </c>
    </row>
    <row r="121">
      <c r="A121" s="36"/>
      <c r="B121" s="37">
        <v>34.288422467680476</v>
      </c>
    </row>
    <row r="122">
      <c r="A122" s="36"/>
      <c r="B122" s="37">
        <v>29.348422467680475</v>
      </c>
    </row>
    <row r="123">
      <c r="A123" s="36"/>
      <c r="B123" s="37">
        <v>13.958422467680473</v>
      </c>
    </row>
    <row r="124">
      <c r="A124" s="36"/>
      <c r="B124" s="37">
        <v>12.208422467680473</v>
      </c>
    </row>
    <row r="125">
      <c r="A125" s="36"/>
      <c r="B125" s="37">
        <v>63.95842246768047</v>
      </c>
    </row>
    <row r="126">
      <c r="A126" s="36"/>
      <c r="B126" s="37">
        <v>2.318422467680474</v>
      </c>
    </row>
    <row r="127">
      <c r="A127" s="36"/>
      <c r="B127" s="37">
        <v>11.508422467680473</v>
      </c>
    </row>
    <row r="128">
      <c r="A128" s="36"/>
      <c r="B128" s="37">
        <v>41.788422467680476</v>
      </c>
    </row>
    <row r="129">
      <c r="A129" s="36"/>
      <c r="B129" s="37">
        <v>15.498422467680472</v>
      </c>
    </row>
    <row r="130">
      <c r="A130" s="36"/>
      <c r="B130" s="37">
        <v>12.418422467680474</v>
      </c>
    </row>
    <row r="131">
      <c r="A131" s="36"/>
      <c r="B131" s="37">
        <v>36.49842246768048</v>
      </c>
    </row>
    <row r="132">
      <c r="A132" s="36"/>
      <c r="B132" s="37">
        <v>1.2484224676804738</v>
      </c>
    </row>
    <row r="133">
      <c r="A133" s="36"/>
      <c r="B133" s="37">
        <v>1.3584224676804737</v>
      </c>
    </row>
    <row r="134">
      <c r="A134" s="36"/>
      <c r="B134" s="37">
        <v>11.428422467680473</v>
      </c>
    </row>
    <row r="135">
      <c r="A135" s="36"/>
      <c r="B135" s="37">
        <v>13.918422467680474</v>
      </c>
    </row>
    <row r="136">
      <c r="A136" s="36"/>
      <c r="B136" s="37">
        <v>30.998422467680477</v>
      </c>
    </row>
    <row r="137">
      <c r="A137" s="36"/>
      <c r="B137" s="37">
        <v>27.108422467680477</v>
      </c>
    </row>
    <row r="138">
      <c r="A138" s="36"/>
      <c r="B138" s="37">
        <v>37.13842246768048</v>
      </c>
    </row>
    <row r="139">
      <c r="A139" s="36"/>
      <c r="B139" s="37">
        <v>72.92842246768046</v>
      </c>
    </row>
    <row r="140">
      <c r="A140" s="36"/>
      <c r="B140" s="37">
        <v>60.038422467680476</v>
      </c>
    </row>
    <row r="141">
      <c r="A141" s="36"/>
      <c r="B141" s="37">
        <v>13.078422467680474</v>
      </c>
    </row>
    <row r="142">
      <c r="A142" s="36"/>
      <c r="B142" s="37">
        <v>26.678422467680473</v>
      </c>
    </row>
    <row r="143">
      <c r="A143" s="36"/>
      <c r="B143" s="37">
        <v>18.508422467680475</v>
      </c>
    </row>
    <row r="144">
      <c r="A144" s="36"/>
      <c r="B144" s="37">
        <v>32.59842246768047</v>
      </c>
    </row>
    <row r="145">
      <c r="A145" s="36"/>
      <c r="B145" s="37">
        <v>68.23842246768046</v>
      </c>
    </row>
    <row r="146">
      <c r="A146" s="36"/>
      <c r="B146" s="37">
        <v>11.868422467680473</v>
      </c>
    </row>
    <row r="147">
      <c r="A147" s="36"/>
      <c r="B147" s="37">
        <v>1.2584224676804736</v>
      </c>
    </row>
    <row r="148">
      <c r="A148" s="36"/>
      <c r="B148" s="37">
        <v>26.988422467680476</v>
      </c>
    </row>
    <row r="149">
      <c r="A149" s="36"/>
      <c r="B149" s="37">
        <v>34.508422467680475</v>
      </c>
    </row>
    <row r="150">
      <c r="A150" s="36"/>
      <c r="B150" s="37">
        <v>2.2184224676804734</v>
      </c>
    </row>
    <row r="151">
      <c r="A151" s="36"/>
      <c r="B151" s="37">
        <v>17.598422467680475</v>
      </c>
    </row>
    <row r="152">
      <c r="A152" s="36"/>
      <c r="B152" s="37">
        <v>9.718422467680472</v>
      </c>
    </row>
    <row r="153">
      <c r="A153" s="36"/>
      <c r="B153" s="37">
        <v>30.528422467680475</v>
      </c>
    </row>
    <row r="154">
      <c r="A154" s="36"/>
      <c r="B154" s="37">
        <v>5.718422467680474</v>
      </c>
    </row>
    <row r="155">
      <c r="A155" s="36"/>
      <c r="B155" s="37">
        <v>12.258422467680473</v>
      </c>
    </row>
    <row r="156">
      <c r="A156" s="36"/>
      <c r="B156" s="37">
        <v>19.588422467680473</v>
      </c>
    </row>
    <row r="157">
      <c r="A157" s="36"/>
      <c r="B157" s="37">
        <v>11.688422467680473</v>
      </c>
    </row>
    <row r="158">
      <c r="A158" s="36"/>
      <c r="B158" s="37">
        <v>9.508422467680473</v>
      </c>
    </row>
    <row r="159">
      <c r="A159" s="36"/>
      <c r="B159" s="37">
        <v>78.57842246768047</v>
      </c>
    </row>
    <row r="160">
      <c r="A160" s="36"/>
      <c r="B160" s="37">
        <v>2.2184224676804734</v>
      </c>
    </row>
    <row r="161">
      <c r="A161" s="36"/>
      <c r="B161" s="37">
        <v>21.838422467680473</v>
      </c>
    </row>
    <row r="162">
      <c r="A162" s="36"/>
      <c r="B162" s="37">
        <v>29.918422467680475</v>
      </c>
    </row>
    <row r="163">
      <c r="A163" s="36"/>
      <c r="B163" s="37">
        <v>33.95842246768048</v>
      </c>
    </row>
    <row r="164">
      <c r="A164" s="36"/>
      <c r="B164" s="37">
        <v>30.238422467680476</v>
      </c>
    </row>
    <row r="165">
      <c r="A165" s="36"/>
      <c r="B165" s="37">
        <v>2.728422467680474</v>
      </c>
    </row>
    <row r="166">
      <c r="A166" s="36"/>
      <c r="B166" s="37">
        <v>20.178422467680473</v>
      </c>
    </row>
    <row r="167">
      <c r="A167" s="36"/>
      <c r="B167" s="37">
        <v>75.94842246768047</v>
      </c>
    </row>
    <row r="168">
      <c r="A168" s="36"/>
      <c r="B168" s="37">
        <v>9.678422467680473</v>
      </c>
    </row>
    <row r="169">
      <c r="A169" s="36"/>
      <c r="B169" s="37">
        <v>13.838422467680473</v>
      </c>
    </row>
    <row r="170">
      <c r="A170" s="36"/>
      <c r="B170" s="37">
        <v>20.768422467680473</v>
      </c>
    </row>
    <row r="171">
      <c r="A171" s="36"/>
      <c r="B171" s="37">
        <v>14.048422467680473</v>
      </c>
    </row>
    <row r="172">
      <c r="A172" s="36"/>
      <c r="B172" s="37">
        <v>59.618422467680475</v>
      </c>
    </row>
    <row r="173">
      <c r="A173" s="36"/>
      <c r="B173" s="37">
        <v>29.258422467680475</v>
      </c>
    </row>
    <row r="174">
      <c r="A174" s="36"/>
      <c r="B174" s="37">
        <v>30.618422467680475</v>
      </c>
    </row>
    <row r="175">
      <c r="A175" s="36"/>
      <c r="B175" s="37">
        <v>59.37842246768047</v>
      </c>
    </row>
    <row r="176">
      <c r="A176" s="36"/>
      <c r="B176" s="37">
        <v>3.178422467680474</v>
      </c>
    </row>
    <row r="177">
      <c r="A177" s="36"/>
      <c r="B177" s="37">
        <v>19.438422467680475</v>
      </c>
    </row>
    <row r="178">
      <c r="A178" s="36"/>
      <c r="B178" s="37">
        <v>17.078422467680475</v>
      </c>
    </row>
    <row r="179">
      <c r="A179" s="36"/>
      <c r="B179" s="37">
        <v>36.968422467680476</v>
      </c>
    </row>
    <row r="180">
      <c r="A180" s="36"/>
      <c r="B180" s="37">
        <v>27.068422467680474</v>
      </c>
    </row>
    <row r="181">
      <c r="A181" s="36"/>
      <c r="B181" s="37">
        <v>3.688422467680474</v>
      </c>
    </row>
    <row r="182">
      <c r="A182" s="36"/>
      <c r="B182" s="37">
        <v>0.8484224676804737</v>
      </c>
    </row>
    <row r="183">
      <c r="A183" s="36"/>
      <c r="B183" s="37">
        <v>3.0484224676804743</v>
      </c>
    </row>
    <row r="184">
      <c r="A184" s="36"/>
      <c r="B184" s="37">
        <v>55.74842246768048</v>
      </c>
    </row>
    <row r="185">
      <c r="A185" s="36"/>
      <c r="B185" s="37">
        <v>39.45842246768048</v>
      </c>
    </row>
    <row r="186">
      <c r="A186" s="36"/>
      <c r="B186" s="37">
        <v>60.67842246768048</v>
      </c>
    </row>
    <row r="187">
      <c r="A187" s="36"/>
      <c r="B187" s="37">
        <v>16.588422467680473</v>
      </c>
    </row>
    <row r="188">
      <c r="A188" s="36"/>
      <c r="B188" s="37">
        <v>12.498422467680474</v>
      </c>
    </row>
    <row r="189">
      <c r="A189" s="36"/>
      <c r="B189" s="37">
        <v>44.258422467680475</v>
      </c>
    </row>
    <row r="190">
      <c r="A190" s="36"/>
      <c r="B190" s="37">
        <v>4.288422467680474</v>
      </c>
    </row>
    <row r="191">
      <c r="A191" s="36"/>
      <c r="B191" s="37">
        <v>19.658422467680474</v>
      </c>
    </row>
    <row r="192">
      <c r="A192" s="36"/>
      <c r="B192" s="37">
        <v>9.188422467680473</v>
      </c>
    </row>
    <row r="193">
      <c r="A193" s="36"/>
      <c r="B193" s="37">
        <v>15.138422467680472</v>
      </c>
    </row>
    <row r="194">
      <c r="A194" s="36"/>
      <c r="B194" s="37">
        <v>10.828422467680474</v>
      </c>
    </row>
    <row r="195">
      <c r="A195" s="36"/>
      <c r="B195" s="37">
        <v>18.638422467680474</v>
      </c>
    </row>
    <row r="196">
      <c r="A196" s="36"/>
      <c r="B196" s="37">
        <v>55.508422467680475</v>
      </c>
    </row>
    <row r="197">
      <c r="A197" s="36"/>
      <c r="B197" s="37">
        <v>2.608422467680474</v>
      </c>
    </row>
    <row r="198">
      <c r="A198" s="36"/>
      <c r="B198" s="37">
        <v>35.218422467680476</v>
      </c>
    </row>
    <row r="199">
      <c r="A199" s="36"/>
      <c r="B199" s="37">
        <v>15.478422467680472</v>
      </c>
    </row>
    <row r="200">
      <c r="A200" s="36"/>
      <c r="B200" s="37">
        <v>56.84842246768047</v>
      </c>
    </row>
    <row r="201">
      <c r="A201" s="36"/>
      <c r="B201" s="37">
        <v>2.428422467680474</v>
      </c>
    </row>
    <row r="202">
      <c r="A202" s="36"/>
      <c r="B202" s="37">
        <v>2.9584224676804736</v>
      </c>
    </row>
    <row r="203">
      <c r="A203" s="36"/>
      <c r="B203" s="37">
        <v>17.738422467680476</v>
      </c>
    </row>
    <row r="204">
      <c r="A204" s="36"/>
      <c r="B204" s="37">
        <v>24.988422467680476</v>
      </c>
    </row>
    <row r="205">
      <c r="A205" s="36"/>
      <c r="B205" s="37">
        <v>44.19842246768047</v>
      </c>
    </row>
    <row r="206">
      <c r="A206" s="36"/>
      <c r="B206" s="37">
        <v>40.438422467680475</v>
      </c>
    </row>
    <row r="207">
      <c r="A207" s="36"/>
      <c r="B207" s="37">
        <v>17.758422467680475</v>
      </c>
    </row>
    <row r="208">
      <c r="A208" s="36"/>
      <c r="B208" s="37">
        <v>10.628422467680473</v>
      </c>
    </row>
    <row r="209">
      <c r="A209" s="36"/>
      <c r="B209" s="37">
        <v>9.438422467680473</v>
      </c>
    </row>
    <row r="210">
      <c r="A210" s="36"/>
      <c r="B210" s="37">
        <v>10.598422467680473</v>
      </c>
    </row>
    <row r="211">
      <c r="A211" s="36"/>
      <c r="B211" s="37">
        <v>56.408422467680474</v>
      </c>
    </row>
    <row r="212">
      <c r="A212" s="36"/>
      <c r="B212" s="37">
        <v>13.078422467680474</v>
      </c>
    </row>
    <row r="213">
      <c r="A213" s="36"/>
      <c r="B213" s="37">
        <v>38.81842246768048</v>
      </c>
    </row>
    <row r="214">
      <c r="A214" s="36"/>
      <c r="B214" s="37">
        <v>19.258422467680475</v>
      </c>
    </row>
    <row r="215">
      <c r="A215" s="36"/>
      <c r="B215" s="37">
        <v>0.8984224676804737</v>
      </c>
    </row>
    <row r="216">
      <c r="A216" s="36"/>
      <c r="B216" s="37">
        <v>14.988422467680474</v>
      </c>
    </row>
    <row r="217">
      <c r="A217" s="36"/>
      <c r="B217" s="37">
        <v>11.958422467680473</v>
      </c>
    </row>
    <row r="218">
      <c r="A218" s="36"/>
      <c r="B218" s="37">
        <v>11.028422467680473</v>
      </c>
    </row>
    <row r="219">
      <c r="A219" s="36"/>
      <c r="B219" s="37">
        <v>2.428422467680474</v>
      </c>
    </row>
    <row r="220">
      <c r="A220" s="36"/>
      <c r="B220" s="37">
        <v>8.618422467680473</v>
      </c>
    </row>
    <row r="221">
      <c r="A221" s="36"/>
      <c r="B221" s="37">
        <v>24.568422467680474</v>
      </c>
    </row>
    <row r="222">
      <c r="A222" s="36"/>
      <c r="B222" s="37">
        <v>24.208422467680474</v>
      </c>
    </row>
    <row r="223">
      <c r="A223" s="36"/>
      <c r="B223" s="37">
        <v>24.468422467680476</v>
      </c>
    </row>
    <row r="224">
      <c r="A224" s="36"/>
      <c r="B224" s="37">
        <v>12.658422467680474</v>
      </c>
    </row>
    <row r="225">
      <c r="A225" s="36"/>
      <c r="B225" s="37">
        <v>35.218422467680476</v>
      </c>
    </row>
    <row r="226">
      <c r="A226" s="36"/>
      <c r="B226" s="37">
        <v>13.718422467680472</v>
      </c>
    </row>
    <row r="227">
      <c r="A227" s="36"/>
      <c r="B227" s="37">
        <v>12.678422467680473</v>
      </c>
    </row>
    <row r="228">
      <c r="A228" s="36"/>
      <c r="B228" s="37">
        <v>23.638422467680474</v>
      </c>
    </row>
    <row r="229">
      <c r="A229" s="36"/>
      <c r="B229" s="37">
        <v>9.248422467680474</v>
      </c>
    </row>
    <row r="230">
      <c r="A230" s="36"/>
      <c r="B230" s="37">
        <v>14.458422467680473</v>
      </c>
    </row>
    <row r="231">
      <c r="A231" s="36"/>
      <c r="B231" s="37">
        <v>13.418422467680474</v>
      </c>
    </row>
    <row r="232">
      <c r="A232" s="36"/>
      <c r="B232" s="37">
        <v>18.098422467680475</v>
      </c>
    </row>
    <row r="233">
      <c r="A233" s="36"/>
      <c r="B233" s="37">
        <v>32.92842246768048</v>
      </c>
    </row>
    <row r="234">
      <c r="A234" s="36"/>
      <c r="B234" s="37">
        <v>32.01842246768047</v>
      </c>
    </row>
    <row r="235">
      <c r="A235" s="36"/>
      <c r="B235" s="37">
        <v>11.448422467680473</v>
      </c>
    </row>
    <row r="236">
      <c r="A236" s="36"/>
      <c r="B236" s="37">
        <v>39.648422467680476</v>
      </c>
    </row>
    <row r="237">
      <c r="A237" s="36"/>
      <c r="B237" s="37">
        <v>39.63842246768048</v>
      </c>
    </row>
    <row r="238">
      <c r="A238" s="36"/>
      <c r="B238" s="37">
        <v>13.808422467680472</v>
      </c>
    </row>
    <row r="239">
      <c r="A239" s="36"/>
      <c r="B239" s="37">
        <v>52.20842246768048</v>
      </c>
    </row>
    <row r="240">
      <c r="A240" s="36"/>
      <c r="B240" s="37">
        <v>3.3784224676804744</v>
      </c>
    </row>
    <row r="241">
      <c r="A241" s="36"/>
      <c r="B241" s="37">
        <v>37.02842246768048</v>
      </c>
    </row>
    <row r="242">
      <c r="A242" s="36"/>
      <c r="B242" s="37">
        <v>2.7984224676804734</v>
      </c>
    </row>
    <row r="243">
      <c r="A243" s="36"/>
      <c r="B243" s="37">
        <v>26.798422467680474</v>
      </c>
    </row>
    <row r="244">
      <c r="A244" s="36"/>
      <c r="B244" s="37">
        <v>45.41842246768047</v>
      </c>
    </row>
    <row r="245">
      <c r="A245" s="36"/>
      <c r="B245" s="37">
        <v>75.09842246768046</v>
      </c>
    </row>
    <row r="246">
      <c r="A246" s="36"/>
      <c r="B246" s="37">
        <v>9.178422467680473</v>
      </c>
    </row>
    <row r="247">
      <c r="A247" s="36"/>
      <c r="B247" s="37">
        <v>9.648422467680474</v>
      </c>
    </row>
    <row r="248">
      <c r="A248" s="36"/>
      <c r="B248" s="37">
        <v>12.718422467680472</v>
      </c>
    </row>
    <row r="249">
      <c r="A249" s="36"/>
      <c r="B249" s="37">
        <v>12.658422467680474</v>
      </c>
    </row>
    <row r="250">
      <c r="A250" s="36"/>
      <c r="B250" s="37">
        <v>13.688422467680473</v>
      </c>
    </row>
    <row r="251">
      <c r="A251" s="36"/>
      <c r="B251" s="37">
        <v>34.94842246768047</v>
      </c>
    </row>
    <row r="252">
      <c r="A252" s="36"/>
      <c r="B252" s="37">
        <v>18.228422467680474</v>
      </c>
    </row>
    <row r="253">
      <c r="A253" s="36"/>
      <c r="B253" s="37">
        <v>0.6384224676804737</v>
      </c>
    </row>
    <row r="254">
      <c r="A254" s="36"/>
      <c r="B254" s="37">
        <v>29.078422467680475</v>
      </c>
    </row>
    <row r="255">
      <c r="A255" s="36"/>
      <c r="B255" s="37">
        <v>45.35842246768048</v>
      </c>
    </row>
    <row r="256">
      <c r="A256" s="36"/>
      <c r="B256" s="37">
        <v>16.608422467680477</v>
      </c>
    </row>
    <row r="257">
      <c r="A257" s="36"/>
      <c r="B257" s="37">
        <v>0.4784224676804738</v>
      </c>
    </row>
    <row r="258">
      <c r="A258" s="36"/>
      <c r="B258" s="37">
        <v>18.168422467680475</v>
      </c>
    </row>
    <row r="259">
      <c r="A259" s="36"/>
      <c r="B259" s="37">
        <v>33.478422467680474</v>
      </c>
    </row>
    <row r="260">
      <c r="A260" s="36"/>
      <c r="B260" s="37">
        <v>65.98842246768046</v>
      </c>
    </row>
    <row r="261">
      <c r="A261" s="36"/>
      <c r="B261" s="37">
        <v>34.968422467680476</v>
      </c>
    </row>
    <row r="262">
      <c r="A262" s="36"/>
      <c r="B262" s="37">
        <v>38.59842246768047</v>
      </c>
    </row>
    <row r="263">
      <c r="A263" s="36"/>
      <c r="B263" s="37">
        <v>11.938422467680473</v>
      </c>
    </row>
    <row r="264">
      <c r="A264" s="36"/>
      <c r="B264" s="37">
        <v>55.37842246768047</v>
      </c>
    </row>
    <row r="265">
      <c r="A265" s="36"/>
      <c r="B265" s="37">
        <v>16.278422467680475</v>
      </c>
    </row>
    <row r="266">
      <c r="A266" s="36"/>
      <c r="B266" s="37">
        <v>8.138422467680472</v>
      </c>
    </row>
    <row r="267">
      <c r="A267" s="36"/>
      <c r="B267" s="37">
        <v>15.668422467680474</v>
      </c>
    </row>
    <row r="268">
      <c r="A268" s="36"/>
      <c r="B268" s="37">
        <v>28.988422467680476</v>
      </c>
    </row>
    <row r="269">
      <c r="A269" s="36"/>
      <c r="B269" s="37">
        <v>10.188422467680473</v>
      </c>
    </row>
    <row r="270">
      <c r="A270" s="36"/>
      <c r="B270" s="37">
        <v>11.378422467680473</v>
      </c>
    </row>
    <row r="271">
      <c r="A271" s="36"/>
      <c r="B271" s="37">
        <v>11.608422467680473</v>
      </c>
    </row>
    <row r="272">
      <c r="A272" s="36"/>
      <c r="B272" s="37">
        <v>11.148422467680474</v>
      </c>
    </row>
    <row r="273">
      <c r="A273" s="36"/>
      <c r="B273" s="37">
        <v>4.158422467680474</v>
      </c>
    </row>
    <row r="274">
      <c r="A274" s="36"/>
      <c r="B274" s="37">
        <v>28.028422467680475</v>
      </c>
    </row>
    <row r="275">
      <c r="A275" s="36"/>
      <c r="B275" s="37">
        <v>1.3384224676804737</v>
      </c>
    </row>
    <row r="276">
      <c r="A276" s="36"/>
      <c r="B276" s="37">
        <v>74.64842246768046</v>
      </c>
    </row>
    <row r="277">
      <c r="A277" s="36"/>
      <c r="B277" s="37">
        <v>9.718422467680472</v>
      </c>
    </row>
    <row r="278">
      <c r="A278" s="36"/>
      <c r="B278" s="37">
        <v>11.028422467680473</v>
      </c>
    </row>
    <row r="279">
      <c r="A279" s="36"/>
      <c r="B279" s="37">
        <v>24.428422467680473</v>
      </c>
    </row>
    <row r="280">
      <c r="A280" s="36"/>
      <c r="B280" s="37">
        <v>11.238422467680474</v>
      </c>
    </row>
    <row r="281">
      <c r="A281" s="36"/>
      <c r="B281" s="37">
        <v>14.188422467680473</v>
      </c>
    </row>
    <row r="282">
      <c r="A282" s="36"/>
      <c r="B282" s="37">
        <v>67.94842246768047</v>
      </c>
    </row>
    <row r="283">
      <c r="A283" s="36"/>
      <c r="B283" s="37">
        <v>29.088422467680473</v>
      </c>
    </row>
    <row r="284">
      <c r="A284" s="36"/>
      <c r="B284" s="37">
        <v>2.308422467680474</v>
      </c>
    </row>
    <row r="285">
      <c r="A285" s="36"/>
      <c r="B285" s="37">
        <v>1.1884224676804738</v>
      </c>
    </row>
    <row r="286">
      <c r="A286" s="36"/>
      <c r="B286" s="37">
        <v>2.388422467680474</v>
      </c>
    </row>
    <row r="287">
      <c r="A287" s="36"/>
      <c r="B287" s="37">
        <v>11.308422467680472</v>
      </c>
    </row>
    <row r="288">
      <c r="A288" s="36"/>
      <c r="B288" s="37">
        <v>33.41842246768047</v>
      </c>
    </row>
    <row r="289">
      <c r="A289" s="36"/>
      <c r="B289" s="37">
        <v>35.408422467680474</v>
      </c>
    </row>
    <row r="290">
      <c r="A290" s="36"/>
      <c r="B290" s="37">
        <v>25.798422467680474</v>
      </c>
    </row>
    <row r="291">
      <c r="A291" s="36"/>
      <c r="B291" s="37">
        <v>13.258422467680473</v>
      </c>
    </row>
    <row r="292">
      <c r="A292" s="36"/>
      <c r="B292" s="37">
        <v>9.808422467680472</v>
      </c>
    </row>
    <row r="293">
      <c r="A293" s="36"/>
      <c r="B293" s="37">
        <v>34.508422467680475</v>
      </c>
    </row>
    <row r="294">
      <c r="A294" s="36"/>
      <c r="B294" s="37">
        <v>0.9784224676804738</v>
      </c>
    </row>
    <row r="295">
      <c r="A295" s="36"/>
      <c r="B295" s="37">
        <v>10.648422467680474</v>
      </c>
    </row>
    <row r="296">
      <c r="A296" s="36"/>
      <c r="B296" s="37">
        <v>32.09842246768047</v>
      </c>
    </row>
    <row r="297">
      <c r="A297" s="36"/>
      <c r="B297" s="37">
        <v>47.398422467680476</v>
      </c>
    </row>
    <row r="298">
      <c r="A298" s="36"/>
      <c r="B298" s="37">
        <v>3.5784224676804737</v>
      </c>
    </row>
    <row r="299">
      <c r="A299" s="36"/>
      <c r="B299" s="37">
        <v>23.678422467680473</v>
      </c>
    </row>
    <row r="300">
      <c r="A300" s="36"/>
      <c r="B300" s="37">
        <v>25.258422467680475</v>
      </c>
    </row>
    <row r="301">
      <c r="A301" s="36"/>
      <c r="B301" s="37">
        <v>20.068422467680474</v>
      </c>
    </row>
    <row r="302">
      <c r="A302" s="36"/>
      <c r="B302" s="37">
        <v>30.338422467680473</v>
      </c>
    </row>
    <row r="303">
      <c r="A303" s="36"/>
      <c r="B303" s="37">
        <v>15.418422467680474</v>
      </c>
    </row>
    <row r="304">
      <c r="A304" s="36"/>
      <c r="B304" s="37">
        <v>25.158422467680474</v>
      </c>
    </row>
    <row r="305">
      <c r="A305" s="36"/>
      <c r="B305" s="37">
        <v>26.358422467680477</v>
      </c>
    </row>
    <row r="306">
      <c r="A306" s="36"/>
      <c r="B306" s="37">
        <v>36.10842246768048</v>
      </c>
    </row>
    <row r="307">
      <c r="A307" s="36"/>
      <c r="B307" s="37">
        <v>11.298422467680473</v>
      </c>
    </row>
    <row r="308">
      <c r="A308" s="36"/>
      <c r="B308" s="37">
        <v>13.008422467680473</v>
      </c>
    </row>
    <row r="309">
      <c r="A309" s="36"/>
      <c r="B309" s="37">
        <v>54.66842246768047</v>
      </c>
    </row>
    <row r="310">
      <c r="A310" s="36"/>
      <c r="B310" s="37">
        <v>33.06842246768048</v>
      </c>
    </row>
    <row r="311">
      <c r="A311" s="36"/>
      <c r="B311" s="37">
        <v>2.4184224676804735</v>
      </c>
    </row>
    <row r="312">
      <c r="A312" s="36"/>
      <c r="B312" s="37">
        <v>1.0584224676804739</v>
      </c>
    </row>
    <row r="313">
      <c r="A313" s="36"/>
      <c r="B313" s="37">
        <v>14.788422467680473</v>
      </c>
    </row>
    <row r="314">
      <c r="A314" s="36"/>
      <c r="B314" s="37">
        <v>68.12842246768047</v>
      </c>
    </row>
    <row r="315">
      <c r="A315" s="36"/>
      <c r="B315" s="37">
        <v>17.008422467680475</v>
      </c>
    </row>
    <row r="316">
      <c r="A316" s="36"/>
      <c r="B316" s="37">
        <v>13.208422467680473</v>
      </c>
    </row>
    <row r="317">
      <c r="A317" s="36"/>
      <c r="B317" s="37">
        <v>1.328422467680474</v>
      </c>
    </row>
    <row r="318">
      <c r="A318" s="36"/>
      <c r="B318" s="37">
        <v>56.13842246768048</v>
      </c>
    </row>
    <row r="319">
      <c r="A319" s="36"/>
      <c r="B319" s="37">
        <v>53.69842246768047</v>
      </c>
    </row>
    <row r="320">
      <c r="A320" s="36"/>
      <c r="B320" s="37">
        <v>1.2184224676804736</v>
      </c>
    </row>
    <row r="321">
      <c r="A321" s="36"/>
      <c r="B321" s="37">
        <v>48.83842246768047</v>
      </c>
    </row>
    <row r="322">
      <c r="A322" s="36"/>
      <c r="B322" s="37">
        <v>46.868422467680475</v>
      </c>
    </row>
    <row r="323">
      <c r="A323" s="36"/>
      <c r="B323" s="37">
        <v>10.828422467680474</v>
      </c>
    </row>
    <row r="324">
      <c r="A324" s="36"/>
      <c r="B324" s="37">
        <v>57.58842246768047</v>
      </c>
    </row>
    <row r="325">
      <c r="A325" s="36"/>
      <c r="B325" s="37">
        <v>9.658422467680474</v>
      </c>
    </row>
    <row r="326">
      <c r="A326" s="36"/>
      <c r="B326" s="37">
        <v>12.188422467680473</v>
      </c>
    </row>
    <row r="327">
      <c r="A327" s="36"/>
      <c r="B327" s="37">
        <v>9.618422467680473</v>
      </c>
    </row>
    <row r="328">
      <c r="A328" s="36"/>
      <c r="B328" s="37">
        <v>21.978422467680474</v>
      </c>
    </row>
    <row r="329">
      <c r="A329" s="36"/>
      <c r="B329" s="37">
        <v>14.938422467680473</v>
      </c>
    </row>
    <row r="330">
      <c r="A330" s="36"/>
      <c r="B330" s="37">
        <v>9.118422467680473</v>
      </c>
    </row>
    <row r="331">
      <c r="A331" s="36"/>
      <c r="B331" s="37">
        <v>31.608422467680477</v>
      </c>
    </row>
    <row r="332">
      <c r="A332" s="36"/>
      <c r="B332" s="37">
        <v>9.448422467680473</v>
      </c>
    </row>
    <row r="333">
      <c r="A333" s="36"/>
      <c r="B333" s="37">
        <v>29.238422467680476</v>
      </c>
    </row>
    <row r="334">
      <c r="A334" s="36"/>
      <c r="B334" s="37">
        <v>7.3784224676804735</v>
      </c>
    </row>
    <row r="335">
      <c r="A335" s="36"/>
      <c r="B335" s="37">
        <v>28.928422467680473</v>
      </c>
    </row>
    <row r="336">
      <c r="A336" s="36"/>
      <c r="B336" s="37">
        <v>9.778422467680473</v>
      </c>
    </row>
    <row r="337">
      <c r="A337" s="36"/>
      <c r="B337" s="37">
        <v>23.968422467680476</v>
      </c>
    </row>
    <row r="338">
      <c r="A338" s="36"/>
      <c r="B338" s="37">
        <v>15.968422467680474</v>
      </c>
    </row>
    <row r="339">
      <c r="A339" s="36"/>
      <c r="B339" s="37">
        <v>9.428422467680473</v>
      </c>
    </row>
    <row r="340">
      <c r="A340" s="36"/>
      <c r="B340" s="37">
        <v>13.988422467680474</v>
      </c>
    </row>
    <row r="341">
      <c r="A341" s="36"/>
      <c r="B341" s="37">
        <v>12.388422467680472</v>
      </c>
    </row>
    <row r="342">
      <c r="A342" s="36"/>
      <c r="B342" s="37">
        <v>29.588422467680473</v>
      </c>
    </row>
    <row r="343">
      <c r="A343" s="36"/>
      <c r="B343" s="37">
        <v>10.458422467680473</v>
      </c>
    </row>
    <row r="344">
      <c r="A344" s="36"/>
      <c r="B344" s="37">
        <v>33.88842246768048</v>
      </c>
    </row>
    <row r="345">
      <c r="A345" s="36"/>
      <c r="B345" s="37">
        <v>1.1984224676804736</v>
      </c>
    </row>
    <row r="346">
      <c r="A346" s="36"/>
      <c r="B346" s="37">
        <v>4.078422467680474</v>
      </c>
    </row>
    <row r="347">
      <c r="A347" s="36"/>
      <c r="B347" s="37">
        <v>24.618422467680475</v>
      </c>
    </row>
    <row r="348">
      <c r="A348" s="36"/>
      <c r="B348" s="37">
        <v>27.118422467680475</v>
      </c>
    </row>
    <row r="349">
      <c r="A349" s="36"/>
      <c r="B349" s="37">
        <v>70.20842246768046</v>
      </c>
    </row>
    <row r="350">
      <c r="A350" s="36"/>
      <c r="B350" s="37">
        <v>17.288422467680476</v>
      </c>
    </row>
    <row r="351">
      <c r="A351" s="36"/>
      <c r="B351" s="37">
        <v>17.298422467680474</v>
      </c>
    </row>
    <row r="352">
      <c r="A352" s="36"/>
      <c r="B352" s="37">
        <v>9.648422467680474</v>
      </c>
    </row>
    <row r="353">
      <c r="A353" s="36"/>
      <c r="B353" s="37">
        <v>79.21842246768047</v>
      </c>
    </row>
    <row r="354">
      <c r="A354" s="36"/>
      <c r="B354" s="37">
        <v>15.818422467680472</v>
      </c>
    </row>
    <row r="355">
      <c r="A355" s="36"/>
      <c r="B355" s="37">
        <v>40.92842246768048</v>
      </c>
    </row>
    <row r="356">
      <c r="A356" s="36"/>
      <c r="B356" s="37">
        <v>37.69842246768047</v>
      </c>
    </row>
    <row r="357">
      <c r="A357" s="36"/>
      <c r="B357" s="37">
        <v>9.128422467680473</v>
      </c>
    </row>
    <row r="358">
      <c r="A358" s="36"/>
      <c r="B358" s="37">
        <v>37.078422467680475</v>
      </c>
    </row>
    <row r="359">
      <c r="A359" s="36"/>
      <c r="B359" s="37">
        <v>18.128422467680476</v>
      </c>
    </row>
    <row r="360">
      <c r="A360" s="36"/>
      <c r="B360" s="37">
        <v>17.338422467680473</v>
      </c>
    </row>
    <row r="361">
      <c r="A361" s="36"/>
      <c r="B361" s="37">
        <v>9.398422467680474</v>
      </c>
    </row>
    <row r="362">
      <c r="A362" s="36"/>
      <c r="B362" s="37">
        <v>38.95842246768048</v>
      </c>
    </row>
    <row r="363">
      <c r="A363" s="36"/>
      <c r="B363" s="37">
        <v>27.418422467680475</v>
      </c>
    </row>
    <row r="364">
      <c r="A364" s="36"/>
      <c r="B364" s="37">
        <v>29.718422467680476</v>
      </c>
    </row>
    <row r="365">
      <c r="A365" s="36"/>
      <c r="B365" s="37">
        <v>13.458422467680473</v>
      </c>
    </row>
    <row r="366">
      <c r="A366" s="36"/>
      <c r="B366" s="37">
        <v>68.56842246768046</v>
      </c>
    </row>
    <row r="367">
      <c r="A367" s="36"/>
      <c r="B367" s="37">
        <v>46.578422467680475</v>
      </c>
    </row>
    <row r="368">
      <c r="A368" s="36"/>
      <c r="B368" s="37">
        <v>13.288422467680473</v>
      </c>
    </row>
    <row r="369">
      <c r="A369" s="36"/>
      <c r="B369" s="37">
        <v>56.70842246768048</v>
      </c>
    </row>
    <row r="370">
      <c r="A370" s="36"/>
      <c r="B370" s="37">
        <v>29.778422467680475</v>
      </c>
    </row>
    <row r="371">
      <c r="A371" s="36"/>
      <c r="B371" s="37">
        <v>16.188422467680475</v>
      </c>
    </row>
    <row r="372">
      <c r="A372" s="36"/>
      <c r="B372" s="37">
        <v>36.42842246768048</v>
      </c>
    </row>
    <row r="373">
      <c r="A373" s="36"/>
      <c r="B373" s="37">
        <v>11.348422467680473</v>
      </c>
    </row>
    <row r="374">
      <c r="A374" s="36"/>
      <c r="B374" s="37">
        <v>19.518422467680473</v>
      </c>
    </row>
    <row r="375">
      <c r="A375" s="36"/>
      <c r="B375" s="37">
        <v>7.678422467680474</v>
      </c>
    </row>
    <row r="376">
      <c r="A376" s="36"/>
      <c r="B376" s="37">
        <v>28.748422467680474</v>
      </c>
    </row>
    <row r="377">
      <c r="A377" s="36"/>
      <c r="B377" s="37">
        <v>11.288422467680473</v>
      </c>
    </row>
    <row r="378">
      <c r="A378" s="36"/>
      <c r="B378" s="37">
        <v>10.698422467680473</v>
      </c>
    </row>
    <row r="379">
      <c r="A379" s="36"/>
      <c r="B379" s="37">
        <v>48.048422467680474</v>
      </c>
    </row>
    <row r="380">
      <c r="A380" s="36"/>
      <c r="B380" s="37">
        <v>29.718422467680476</v>
      </c>
    </row>
    <row r="381">
      <c r="A381" s="36"/>
      <c r="B381" s="37">
        <v>17.468422467680476</v>
      </c>
    </row>
    <row r="382">
      <c r="A382" s="36"/>
      <c r="B382" s="37">
        <v>12.678422467680473</v>
      </c>
    </row>
    <row r="383">
      <c r="A383" s="36"/>
      <c r="B383" s="37">
        <v>11.118422467680473</v>
      </c>
    </row>
    <row r="384">
      <c r="A384" s="36"/>
      <c r="B384" s="37">
        <v>20.988422467680476</v>
      </c>
    </row>
    <row r="385">
      <c r="A385" s="36"/>
      <c r="B385" s="37">
        <v>14.838422467680473</v>
      </c>
    </row>
    <row r="386">
      <c r="A386" s="36"/>
      <c r="B386" s="37">
        <v>23.678422467680473</v>
      </c>
    </row>
    <row r="387">
      <c r="A387" s="36"/>
      <c r="B387" s="37">
        <v>39.328422467680475</v>
      </c>
    </row>
    <row r="388">
      <c r="A388" s="36"/>
      <c r="B388" s="37">
        <v>35.548422467680474</v>
      </c>
    </row>
    <row r="389">
      <c r="A389" s="36"/>
      <c r="B389" s="37">
        <v>38.55842246768047</v>
      </c>
    </row>
    <row r="390">
      <c r="A390" s="36"/>
      <c r="B390" s="37">
        <v>3.768422467680474</v>
      </c>
    </row>
    <row r="391">
      <c r="A391" s="36"/>
      <c r="B391" s="37">
        <v>25.678422467680473</v>
      </c>
    </row>
    <row r="392">
      <c r="A392" s="36"/>
      <c r="B392" s="37">
        <v>65.42842246768046</v>
      </c>
    </row>
    <row r="393">
      <c r="A393" s="36"/>
      <c r="B393" s="37">
        <v>12.018422467680473</v>
      </c>
    </row>
    <row r="394">
      <c r="A394" s="36"/>
      <c r="B394" s="37">
        <v>21.658422467680474</v>
      </c>
    </row>
    <row r="395">
      <c r="A395" s="36"/>
      <c r="B395" s="37">
        <v>33.328422467680475</v>
      </c>
    </row>
    <row r="396">
      <c r="A396" s="36"/>
      <c r="B396" s="37">
        <v>17.978422467680474</v>
      </c>
    </row>
    <row r="397">
      <c r="A397" s="36"/>
      <c r="B397" s="37">
        <v>12.278422467680473</v>
      </c>
    </row>
    <row r="398">
      <c r="A398" s="36"/>
      <c r="B398" s="37">
        <v>61.09842246768047</v>
      </c>
    </row>
    <row r="399">
      <c r="A399" s="36"/>
      <c r="B399" s="37">
        <v>10.838422467680473</v>
      </c>
    </row>
    <row r="400">
      <c r="A400" s="36"/>
      <c r="B400" s="37">
        <v>3.178422467680474</v>
      </c>
    </row>
    <row r="401">
      <c r="A401" s="36"/>
      <c r="B401" s="37">
        <v>31.928422467680477</v>
      </c>
    </row>
    <row r="402">
      <c r="A402" s="36"/>
      <c r="B402" s="37">
        <v>0.5384224676804739</v>
      </c>
    </row>
    <row r="403">
      <c r="A403" s="36"/>
      <c r="B403" s="37">
        <v>10.998422467680474</v>
      </c>
    </row>
    <row r="404">
      <c r="A404" s="36"/>
      <c r="B404" s="37">
        <v>14.348422467680473</v>
      </c>
    </row>
    <row r="405">
      <c r="A405" s="36"/>
      <c r="B405" s="37">
        <v>17.288422467680476</v>
      </c>
    </row>
    <row r="406">
      <c r="A406" s="36"/>
      <c r="B406" s="37">
        <v>32.38842246768048</v>
      </c>
    </row>
    <row r="407">
      <c r="A407" s="36"/>
      <c r="B407" s="37">
        <v>4.298422467680474</v>
      </c>
    </row>
    <row r="408">
      <c r="A408" s="36"/>
      <c r="B408" s="37">
        <v>19.948422467680476</v>
      </c>
    </row>
    <row r="409">
      <c r="A409" s="36"/>
      <c r="B409" s="37">
        <v>18.198422467680476</v>
      </c>
    </row>
    <row r="410">
      <c r="A410" s="36"/>
      <c r="B410" s="37">
        <v>10.888422467680472</v>
      </c>
    </row>
    <row r="411">
      <c r="A411" s="36"/>
      <c r="B411" s="37">
        <v>33.158422467680474</v>
      </c>
    </row>
    <row r="412">
      <c r="A412" s="36"/>
      <c r="B412" s="37">
        <v>37.94842246768047</v>
      </c>
    </row>
    <row r="413">
      <c r="A413" s="36"/>
      <c r="B413" s="37">
        <v>11.718422467680472</v>
      </c>
    </row>
    <row r="414">
      <c r="A414" s="36"/>
      <c r="B414" s="37">
        <v>14.658422467680474</v>
      </c>
    </row>
    <row r="415">
      <c r="A415" s="36"/>
      <c r="B415" s="37">
        <v>2.5084224676804734</v>
      </c>
    </row>
    <row r="416">
      <c r="A416" s="36"/>
      <c r="B416" s="37">
        <v>11.048422467680473</v>
      </c>
    </row>
    <row r="417">
      <c r="A417" s="36"/>
      <c r="B417" s="37">
        <v>27.898422467680476</v>
      </c>
    </row>
    <row r="418">
      <c r="A418" s="36"/>
      <c r="B418" s="37">
        <v>19.548422467680474</v>
      </c>
    </row>
    <row r="419">
      <c r="A419" s="36"/>
      <c r="B419" s="37">
        <v>0.9884224676804736</v>
      </c>
    </row>
    <row r="420">
      <c r="A420" s="36"/>
      <c r="B420" s="37">
        <v>24.368422467680475</v>
      </c>
    </row>
    <row r="421">
      <c r="A421" s="36"/>
      <c r="B421" s="37">
        <v>1.2684224676804738</v>
      </c>
    </row>
    <row r="422">
      <c r="A422" s="36"/>
      <c r="B422" s="37">
        <v>39.51842246768047</v>
      </c>
    </row>
    <row r="423">
      <c r="A423" s="36"/>
      <c r="B423" s="37">
        <v>11.638422467680472</v>
      </c>
    </row>
    <row r="424">
      <c r="A424" s="36"/>
      <c r="B424" s="37">
        <v>36.74842246768048</v>
      </c>
    </row>
    <row r="425">
      <c r="A425" s="36"/>
      <c r="B425" s="37">
        <v>13.448422467680473</v>
      </c>
    </row>
    <row r="426">
      <c r="A426" s="36"/>
      <c r="B426" s="37">
        <v>13.588422467680473</v>
      </c>
    </row>
    <row r="427">
      <c r="A427" s="36"/>
      <c r="B427" s="37">
        <v>10.868422467680473</v>
      </c>
    </row>
    <row r="428">
      <c r="A428" s="36"/>
      <c r="B428" s="37">
        <v>35.34842246768047</v>
      </c>
    </row>
    <row r="429">
      <c r="A429" s="36"/>
      <c r="B429" s="37">
        <v>13.848422467680473</v>
      </c>
    </row>
    <row r="430">
      <c r="A430" s="36"/>
      <c r="B430" s="37">
        <v>50.13842246768048</v>
      </c>
    </row>
    <row r="431">
      <c r="A431" s="36"/>
      <c r="B431" s="37">
        <v>21.038422467680476</v>
      </c>
    </row>
    <row r="432">
      <c r="A432" s="36"/>
      <c r="B432" s="37">
        <v>59.81842246768048</v>
      </c>
    </row>
    <row r="433">
      <c r="A433" s="36"/>
      <c r="B433" s="37">
        <v>2.9184224676804735</v>
      </c>
    </row>
    <row r="434">
      <c r="A434" s="36"/>
      <c r="B434" s="37">
        <v>78.97842246768047</v>
      </c>
    </row>
    <row r="435">
      <c r="A435" s="36"/>
      <c r="B435" s="37">
        <v>49.83842246768047</v>
      </c>
    </row>
    <row r="436">
      <c r="A436" s="36"/>
      <c r="B436" s="37">
        <v>27.888422467680474</v>
      </c>
    </row>
    <row r="437">
      <c r="A437" s="36"/>
      <c r="B437" s="37">
        <v>27.978422467680474</v>
      </c>
    </row>
    <row r="438">
      <c r="A438" s="36"/>
      <c r="B438" s="37">
        <v>18.128422467680476</v>
      </c>
    </row>
    <row r="439">
      <c r="A439" s="36"/>
      <c r="B439" s="37">
        <v>39.978422467680474</v>
      </c>
    </row>
    <row r="440">
      <c r="A440" s="36"/>
      <c r="B440" s="37">
        <v>2.5784224676804737</v>
      </c>
    </row>
    <row r="441">
      <c r="A441" s="36"/>
      <c r="B441" s="37">
        <v>38.868422467680475</v>
      </c>
    </row>
    <row r="442">
      <c r="A442" s="36"/>
      <c r="B442" s="37">
        <v>61.288422467680476</v>
      </c>
    </row>
    <row r="443">
      <c r="A443" s="36"/>
      <c r="B443" s="37">
        <v>43.88842246768048</v>
      </c>
    </row>
    <row r="444">
      <c r="A444" s="36"/>
      <c r="B444" s="37">
        <v>10.858422467680473</v>
      </c>
    </row>
    <row r="445">
      <c r="A445" s="36"/>
      <c r="B445" s="37">
        <v>29.058422467680476</v>
      </c>
    </row>
    <row r="446">
      <c r="A446" s="36"/>
      <c r="B446" s="37">
        <v>12.538422467680473</v>
      </c>
    </row>
    <row r="447">
      <c r="A447" s="36"/>
      <c r="B447" s="37">
        <v>9.268422467680473</v>
      </c>
    </row>
    <row r="448">
      <c r="A448" s="36"/>
      <c r="B448" s="37">
        <v>32.74842246768048</v>
      </c>
    </row>
    <row r="449">
      <c r="A449" s="36"/>
      <c r="B449" s="37">
        <v>18.868422467680475</v>
      </c>
    </row>
    <row r="450">
      <c r="A450" s="36"/>
      <c r="B450" s="37">
        <v>38.688422467680475</v>
      </c>
    </row>
    <row r="451">
      <c r="A451" s="36"/>
      <c r="B451" s="37">
        <v>38.17842246768048</v>
      </c>
    </row>
    <row r="452">
      <c r="A452" s="36"/>
      <c r="B452" s="37">
        <v>74.06842246768046</v>
      </c>
    </row>
    <row r="453">
      <c r="A453" s="36"/>
      <c r="B453" s="37">
        <v>25.478422467680474</v>
      </c>
    </row>
    <row r="454">
      <c r="A454" s="36"/>
      <c r="B454" s="37">
        <v>32.10842246768048</v>
      </c>
    </row>
    <row r="455">
      <c r="A455" s="36"/>
      <c r="B455" s="37">
        <v>14.838422467680473</v>
      </c>
    </row>
    <row r="456">
      <c r="A456" s="36"/>
      <c r="B456" s="37">
        <v>39.398422467680476</v>
      </c>
    </row>
    <row r="457">
      <c r="A457" s="36"/>
      <c r="B457" s="37">
        <v>2.688422467680474</v>
      </c>
    </row>
    <row r="458">
      <c r="A458" s="36"/>
      <c r="B458" s="37">
        <v>31.178422467680477</v>
      </c>
    </row>
    <row r="459">
      <c r="A459" s="36"/>
      <c r="B459" s="37">
        <v>31.758422467680475</v>
      </c>
    </row>
    <row r="460">
      <c r="A460" s="36"/>
      <c r="B460" s="37">
        <v>22.038422467680476</v>
      </c>
    </row>
    <row r="461">
      <c r="A461" s="36"/>
      <c r="B461" s="37">
        <v>27.348422467680475</v>
      </c>
    </row>
    <row r="462">
      <c r="A462" s="36"/>
      <c r="B462" s="37">
        <v>9.698422467680473</v>
      </c>
    </row>
    <row r="463">
      <c r="A463" s="36"/>
      <c r="B463" s="37">
        <v>19.228422467680474</v>
      </c>
    </row>
    <row r="464">
      <c r="A464" s="36"/>
      <c r="B464" s="37">
        <v>14.058422467680472</v>
      </c>
    </row>
    <row r="465">
      <c r="A465" s="36"/>
      <c r="B465" s="37">
        <v>9.618422467680473</v>
      </c>
    </row>
    <row r="466">
      <c r="A466" s="36"/>
      <c r="B466" s="37">
        <v>62.74842246768048</v>
      </c>
    </row>
    <row r="467">
      <c r="A467" s="36"/>
      <c r="B467" s="37">
        <v>29.028422467680475</v>
      </c>
    </row>
    <row r="468">
      <c r="A468" s="36"/>
      <c r="B468" s="37">
        <v>47.868422467680475</v>
      </c>
    </row>
    <row r="469">
      <c r="A469" s="36"/>
      <c r="B469" s="37">
        <v>30.148422467680476</v>
      </c>
    </row>
    <row r="470">
      <c r="A470" s="36"/>
      <c r="B470" s="37">
        <v>39.41842246768047</v>
      </c>
    </row>
    <row r="471">
      <c r="A471" s="36"/>
      <c r="B471" s="37">
        <v>28.488422467680476</v>
      </c>
    </row>
    <row r="472">
      <c r="A472" s="36"/>
      <c r="B472" s="37">
        <v>2.7984224676804734</v>
      </c>
    </row>
    <row r="473">
      <c r="A473" s="36"/>
      <c r="B473" s="37">
        <v>17.008422467680475</v>
      </c>
    </row>
    <row r="474">
      <c r="A474" s="36"/>
      <c r="B474" s="37">
        <v>24.958422467680474</v>
      </c>
    </row>
    <row r="475">
      <c r="A475" s="36"/>
      <c r="B475" s="37">
        <v>11.248422467680474</v>
      </c>
    </row>
    <row r="476">
      <c r="A476" s="36"/>
      <c r="B476" s="37">
        <v>39.63842246768048</v>
      </c>
    </row>
    <row r="477">
      <c r="A477" s="36"/>
      <c r="B477" s="37">
        <v>60.718422467680476</v>
      </c>
    </row>
    <row r="478">
      <c r="A478" s="36"/>
      <c r="B478" s="37">
        <v>11.908422467680474</v>
      </c>
    </row>
    <row r="479">
      <c r="A479" s="36"/>
      <c r="B479" s="37">
        <v>20.378422467680476</v>
      </c>
    </row>
    <row r="480">
      <c r="A480" s="36"/>
      <c r="B480" s="37">
        <v>34.27842246768048</v>
      </c>
    </row>
    <row r="481">
      <c r="A481" s="36"/>
      <c r="B481" s="37">
        <v>35.91842246768047</v>
      </c>
    </row>
    <row r="482">
      <c r="A482" s="36"/>
      <c r="B482" s="37">
        <v>43.26842246768047</v>
      </c>
    </row>
    <row r="483">
      <c r="A483" s="36"/>
      <c r="B483" s="37">
        <v>52.38842246768048</v>
      </c>
    </row>
    <row r="484">
      <c r="A484" s="36"/>
      <c r="B484" s="37">
        <v>22.158422467680474</v>
      </c>
    </row>
    <row r="485">
      <c r="A485" s="36"/>
      <c r="B485" s="37">
        <v>59.298422467680474</v>
      </c>
    </row>
    <row r="486">
      <c r="A486" s="36"/>
      <c r="B486" s="37">
        <v>0.6984224676804738</v>
      </c>
    </row>
    <row r="487">
      <c r="A487" s="36"/>
      <c r="B487" s="37">
        <v>4.258422467680474</v>
      </c>
    </row>
    <row r="488">
      <c r="A488" s="36"/>
      <c r="B488" s="37">
        <v>47.26842246768047</v>
      </c>
    </row>
    <row r="489">
      <c r="A489" s="36"/>
      <c r="B489" s="37">
        <v>71.22842246768047</v>
      </c>
    </row>
    <row r="490">
      <c r="A490" s="36"/>
      <c r="B490" s="37">
        <v>27.998422467680474</v>
      </c>
    </row>
    <row r="491">
      <c r="A491" s="36"/>
      <c r="B491" s="37">
        <v>12.678422467680473</v>
      </c>
    </row>
    <row r="492">
      <c r="A492" s="36"/>
      <c r="B492" s="37">
        <v>46.69842246768047</v>
      </c>
    </row>
    <row r="493">
      <c r="A493" s="36"/>
      <c r="B493" s="37">
        <v>28.238422467680476</v>
      </c>
    </row>
    <row r="494">
      <c r="A494" s="36"/>
      <c r="B494" s="37">
        <v>38.95842246768048</v>
      </c>
    </row>
    <row r="495">
      <c r="A495" s="36"/>
      <c r="B495" s="37">
        <v>13.658422467680474</v>
      </c>
    </row>
    <row r="496">
      <c r="A496" s="36"/>
      <c r="B496" s="37">
        <v>9.648422467680474</v>
      </c>
    </row>
    <row r="497">
      <c r="A497" s="36"/>
      <c r="B497" s="37">
        <v>26.408422467680474</v>
      </c>
    </row>
    <row r="498">
      <c r="A498" s="36"/>
      <c r="B498" s="37">
        <v>68.40842246768047</v>
      </c>
    </row>
    <row r="499">
      <c r="A499" s="36"/>
      <c r="B499" s="37">
        <v>11.548422467680473</v>
      </c>
    </row>
    <row r="500">
      <c r="A500" s="36"/>
      <c r="B500" s="37">
        <v>10.478422467680472</v>
      </c>
    </row>
    <row r="501">
      <c r="A501" s="36"/>
      <c r="B501" s="37">
        <v>12.268422467680473</v>
      </c>
    </row>
    <row r="502">
      <c r="A502" s="36"/>
      <c r="B502" s="37">
        <v>16.478422467680474</v>
      </c>
    </row>
    <row r="503">
      <c r="A503" s="36"/>
      <c r="B503" s="37">
        <v>13.568422467680474</v>
      </c>
    </row>
    <row r="504">
      <c r="A504" s="36"/>
      <c r="B504" s="37">
        <v>10.498422467680474</v>
      </c>
    </row>
    <row r="505">
      <c r="A505" s="36"/>
      <c r="B505" s="37">
        <v>55.62842246768047</v>
      </c>
    </row>
    <row r="506">
      <c r="A506" s="36"/>
      <c r="B506" s="37">
        <v>26.228422467680474</v>
      </c>
    </row>
    <row r="507">
      <c r="A507" s="36"/>
      <c r="B507" s="37">
        <v>32.87842246768047</v>
      </c>
    </row>
    <row r="508">
      <c r="A508" s="36"/>
      <c r="B508" s="37">
        <v>60.008422467680475</v>
      </c>
    </row>
    <row r="509">
      <c r="A509" s="36"/>
      <c r="B509" s="37">
        <v>25.358422467680477</v>
      </c>
    </row>
    <row r="510">
      <c r="A510" s="36"/>
      <c r="B510" s="37">
        <v>4.248422467680474</v>
      </c>
    </row>
    <row r="511">
      <c r="A511" s="36"/>
      <c r="B511" s="37">
        <v>0.42842246768047376</v>
      </c>
    </row>
    <row r="512">
      <c r="A512" s="36"/>
      <c r="B512" s="37">
        <v>33.88842246768048</v>
      </c>
    </row>
    <row r="513">
      <c r="A513" s="36"/>
      <c r="B513" s="37">
        <v>22.598422467680475</v>
      </c>
    </row>
    <row r="514">
      <c r="A514" s="36"/>
      <c r="B514" s="37">
        <v>9.348422467680473</v>
      </c>
    </row>
    <row r="515">
      <c r="A515" s="36"/>
      <c r="B515" s="37">
        <v>7.868422467680474</v>
      </c>
    </row>
    <row r="516">
      <c r="A516" s="36"/>
      <c r="B516" s="37">
        <v>22.158422467680474</v>
      </c>
    </row>
    <row r="517">
      <c r="A517" s="36"/>
      <c r="B517" s="37">
        <v>12.408422467680474</v>
      </c>
    </row>
    <row r="518">
      <c r="A518" s="36"/>
      <c r="B518" s="37">
        <v>10.458422467680473</v>
      </c>
    </row>
    <row r="519">
      <c r="A519" s="36"/>
      <c r="B519" s="37">
        <v>3.558422467680474</v>
      </c>
    </row>
    <row r="520">
      <c r="A520" s="36"/>
      <c r="B520" s="37">
        <v>13.428422467680473</v>
      </c>
    </row>
    <row r="521">
      <c r="A521" s="36"/>
      <c r="B521" s="37">
        <v>21.578422467680475</v>
      </c>
    </row>
    <row r="522">
      <c r="A522" s="36"/>
      <c r="B522" s="37">
        <v>0.7284224676804738</v>
      </c>
    </row>
    <row r="523">
      <c r="A523" s="36"/>
      <c r="B523" s="37">
        <v>32.828422467680475</v>
      </c>
    </row>
    <row r="524">
      <c r="A524" s="36"/>
      <c r="B524" s="37">
        <v>9.588422467680473</v>
      </c>
    </row>
    <row r="525">
      <c r="A525" s="36"/>
      <c r="B525" s="37">
        <v>13.988422467680474</v>
      </c>
    </row>
    <row r="526">
      <c r="A526" s="36"/>
      <c r="B526" s="37">
        <v>12.728422467680472</v>
      </c>
    </row>
    <row r="527">
      <c r="A527" s="36"/>
      <c r="B527" s="37">
        <v>11.238422467680474</v>
      </c>
    </row>
    <row r="528">
      <c r="A528" s="36"/>
      <c r="B528" s="37">
        <v>36.31842246768048</v>
      </c>
    </row>
    <row r="529">
      <c r="A529" s="36"/>
      <c r="B529" s="37">
        <v>28.048422467680474</v>
      </c>
    </row>
    <row r="530">
      <c r="A530" s="36"/>
      <c r="B530" s="37">
        <v>9.408422467680474</v>
      </c>
    </row>
    <row r="531">
      <c r="A531" s="36"/>
      <c r="B531" s="37">
        <v>20.488422467680476</v>
      </c>
    </row>
    <row r="532">
      <c r="A532" s="36"/>
      <c r="B532" s="37">
        <v>32.31842246768048</v>
      </c>
    </row>
    <row r="533">
      <c r="A533" s="36"/>
      <c r="B533" s="37">
        <v>12.108422467680473</v>
      </c>
    </row>
    <row r="534">
      <c r="A534" s="36"/>
      <c r="B534" s="37">
        <v>50.83842246768047</v>
      </c>
    </row>
    <row r="535">
      <c r="A535" s="36"/>
      <c r="B535" s="37">
        <v>2.4184224676804735</v>
      </c>
    </row>
    <row r="536">
      <c r="A536" s="36"/>
      <c r="B536" s="37">
        <v>26.258422467680475</v>
      </c>
    </row>
    <row r="537">
      <c r="A537" s="36"/>
      <c r="B537" s="37">
        <v>47.09842246768047</v>
      </c>
    </row>
    <row r="538">
      <c r="A538" s="36"/>
      <c r="B538" s="37">
        <v>9.838422467680473</v>
      </c>
    </row>
    <row r="539">
      <c r="A539" s="36"/>
      <c r="B539" s="37">
        <v>9.668422467680474</v>
      </c>
    </row>
    <row r="540">
      <c r="A540" s="36"/>
      <c r="B540" s="37">
        <v>9.278422467680473</v>
      </c>
    </row>
    <row r="541">
      <c r="A541" s="36"/>
      <c r="B541" s="37">
        <v>18.678422467680473</v>
      </c>
    </row>
    <row r="542">
      <c r="A542" s="36"/>
      <c r="B542" s="37">
        <v>15.958422467680473</v>
      </c>
    </row>
    <row r="543">
      <c r="A543" s="36"/>
      <c r="B543" s="37">
        <v>12.738422467680474</v>
      </c>
    </row>
    <row r="544">
      <c r="A544" s="36"/>
      <c r="B544" s="37">
        <v>77.84842246768046</v>
      </c>
    </row>
    <row r="545">
      <c r="A545" s="36"/>
      <c r="B545" s="37">
        <v>13.358422467680473</v>
      </c>
    </row>
    <row r="546">
      <c r="A546" s="36"/>
      <c r="B546" s="37">
        <v>15.788422467680475</v>
      </c>
    </row>
    <row r="547">
      <c r="A547" s="36"/>
      <c r="B547" s="37">
        <v>23.008422467680475</v>
      </c>
    </row>
    <row r="548">
      <c r="A548" s="36"/>
      <c r="B548" s="37">
        <v>55.80842246768047</v>
      </c>
    </row>
    <row r="549">
      <c r="A549" s="36"/>
      <c r="B549" s="37">
        <v>10.738422467680474</v>
      </c>
    </row>
    <row r="550">
      <c r="A550" s="36"/>
      <c r="B550" s="37">
        <v>13.018422467680473</v>
      </c>
    </row>
    <row r="551">
      <c r="A551" s="36"/>
      <c r="B551" s="37">
        <v>13.008422467680473</v>
      </c>
    </row>
    <row r="552">
      <c r="A552" s="36"/>
      <c r="B552" s="37">
        <v>60.478422467680474</v>
      </c>
    </row>
    <row r="553">
      <c r="A553" s="36"/>
      <c r="B553" s="37">
        <v>24.038422467680476</v>
      </c>
    </row>
    <row r="554">
      <c r="A554" s="36"/>
      <c r="B554" s="37">
        <v>67.93842246768047</v>
      </c>
    </row>
    <row r="555">
      <c r="A555" s="36"/>
      <c r="B555" s="37">
        <v>2.848422467680474</v>
      </c>
    </row>
    <row r="556">
      <c r="A556" s="36"/>
      <c r="B556" s="37">
        <v>13.278422467680473</v>
      </c>
    </row>
    <row r="557">
      <c r="A557" s="36"/>
      <c r="B557" s="37">
        <v>10.698422467680473</v>
      </c>
    </row>
    <row r="558">
      <c r="A558" s="36"/>
      <c r="B558" s="37">
        <v>34.31842246768048</v>
      </c>
    </row>
    <row r="559">
      <c r="A559" s="36"/>
      <c r="B559" s="37">
        <v>33.94842246768047</v>
      </c>
    </row>
    <row r="560">
      <c r="A560" s="36"/>
      <c r="B560" s="37">
        <v>20.628422467680476</v>
      </c>
    </row>
    <row r="561">
      <c r="A561" s="36"/>
      <c r="B561" s="37">
        <v>37.478422467680474</v>
      </c>
    </row>
    <row r="562">
      <c r="A562" s="36"/>
      <c r="B562" s="37">
        <v>59.10842246768048</v>
      </c>
    </row>
    <row r="563">
      <c r="A563" s="36"/>
      <c r="B563" s="37">
        <v>25.608422467680477</v>
      </c>
    </row>
    <row r="564">
      <c r="A564" s="36"/>
      <c r="B564" s="37">
        <v>58.51842246768047</v>
      </c>
    </row>
    <row r="565">
      <c r="A565" s="36"/>
      <c r="B565" s="37">
        <v>40.20842246768048</v>
      </c>
    </row>
    <row r="566">
      <c r="A566" s="36"/>
      <c r="B566" s="37">
        <v>28.948422467680476</v>
      </c>
    </row>
    <row r="567">
      <c r="A567" s="36"/>
      <c r="B567" s="37">
        <v>53.618422467680475</v>
      </c>
    </row>
    <row r="568">
      <c r="A568" s="36"/>
      <c r="B568" s="37">
        <v>48.60842246768048</v>
      </c>
    </row>
    <row r="569">
      <c r="A569" s="36"/>
      <c r="B569" s="37">
        <v>30.448422467680476</v>
      </c>
    </row>
    <row r="570">
      <c r="A570" s="36"/>
      <c r="B570" s="37">
        <v>12.468422467680472</v>
      </c>
    </row>
    <row r="571">
      <c r="A571" s="36"/>
      <c r="B571" s="37">
        <v>10.548422467680473</v>
      </c>
    </row>
    <row r="572">
      <c r="A572" s="36"/>
      <c r="B572" s="37">
        <v>2.9584224676804736</v>
      </c>
    </row>
    <row r="573">
      <c r="A573" s="36"/>
      <c r="B573" s="37">
        <v>23.258422467680475</v>
      </c>
    </row>
    <row r="574">
      <c r="A574" s="36"/>
      <c r="B574" s="37">
        <v>41.27842246768048</v>
      </c>
    </row>
    <row r="575">
      <c r="A575" s="36"/>
      <c r="B575" s="37">
        <v>36.16842246768047</v>
      </c>
    </row>
    <row r="576">
      <c r="A576" s="36"/>
      <c r="B576" s="37">
        <v>15.488422467680474</v>
      </c>
    </row>
    <row r="577">
      <c r="A577" s="36"/>
      <c r="B577" s="37">
        <v>9.508422467680473</v>
      </c>
    </row>
    <row r="578">
      <c r="A578" s="36"/>
      <c r="B578" s="37">
        <v>6.548422467680474</v>
      </c>
    </row>
    <row r="579">
      <c r="A579" s="36"/>
      <c r="B579" s="37">
        <v>16.458422467680474</v>
      </c>
    </row>
    <row r="580">
      <c r="A580" s="36"/>
      <c r="B580" s="37">
        <v>13.468422467680472</v>
      </c>
    </row>
    <row r="581">
      <c r="A581" s="36"/>
      <c r="B581" s="37">
        <v>11.048422467680473</v>
      </c>
    </row>
    <row r="582">
      <c r="A582" s="36"/>
      <c r="B582" s="37">
        <v>14.338422467680473</v>
      </c>
    </row>
    <row r="583">
      <c r="A583" s="36"/>
      <c r="B583" s="37">
        <v>59.538422467680476</v>
      </c>
    </row>
    <row r="584">
      <c r="A584" s="36"/>
      <c r="B584" s="37">
        <v>9.398422467680474</v>
      </c>
    </row>
    <row r="585">
      <c r="A585" s="36"/>
      <c r="B585" s="37">
        <v>9.008422467680473</v>
      </c>
    </row>
    <row r="586">
      <c r="A586" s="36"/>
      <c r="B586" s="37">
        <v>55.62842246768047</v>
      </c>
    </row>
    <row r="587">
      <c r="A587" s="36"/>
      <c r="B587" s="37">
        <v>14.088422467680473</v>
      </c>
    </row>
    <row r="588">
      <c r="A588" s="36"/>
      <c r="B588" s="37">
        <v>15.388422467680472</v>
      </c>
    </row>
    <row r="589">
      <c r="A589" s="36"/>
      <c r="B589" s="37">
        <v>9.508422467680473</v>
      </c>
    </row>
    <row r="590">
      <c r="A590" s="36"/>
      <c r="B590" s="37">
        <v>20.178422467680473</v>
      </c>
    </row>
    <row r="591">
      <c r="A591" s="36"/>
      <c r="B591" s="37">
        <v>46.508422467680475</v>
      </c>
    </row>
    <row r="592">
      <c r="A592" s="36"/>
      <c r="B592" s="37">
        <v>34.008422467680475</v>
      </c>
    </row>
    <row r="593">
      <c r="A593" s="36"/>
      <c r="B593" s="37">
        <v>1.4584224676804738</v>
      </c>
    </row>
    <row r="594">
      <c r="A594" s="36"/>
      <c r="B594" s="37">
        <v>16.178422467680473</v>
      </c>
    </row>
    <row r="595">
      <c r="A595" s="36"/>
      <c r="B595" s="37">
        <v>10.418422467680474</v>
      </c>
    </row>
    <row r="596">
      <c r="A596" s="36"/>
      <c r="B596" s="37">
        <v>12.188422467680473</v>
      </c>
    </row>
    <row r="597">
      <c r="A597" s="36"/>
      <c r="B597" s="37">
        <v>25.748422467680474</v>
      </c>
    </row>
    <row r="598">
      <c r="A598" s="36"/>
      <c r="B598" s="37">
        <v>23.848422467680475</v>
      </c>
    </row>
    <row r="599">
      <c r="A599" s="36"/>
      <c r="B599" s="37">
        <v>27.528422467680475</v>
      </c>
    </row>
    <row r="600">
      <c r="A600" s="36"/>
      <c r="B600" s="37">
        <v>37.328422467680475</v>
      </c>
    </row>
    <row r="601">
      <c r="A601" s="36"/>
      <c r="B601" s="37">
        <v>73.67842246768046</v>
      </c>
    </row>
    <row r="602">
      <c r="A602" s="36"/>
      <c r="B602" s="37">
        <v>2.148422467680474</v>
      </c>
    </row>
    <row r="603">
      <c r="A603" s="36"/>
      <c r="B603" s="37">
        <v>11.258422467680473</v>
      </c>
    </row>
    <row r="604">
      <c r="A604" s="36"/>
      <c r="B604" s="37">
        <v>55.408422467680474</v>
      </c>
    </row>
    <row r="605">
      <c r="A605" s="36"/>
      <c r="B605" s="37">
        <v>17.258422467680475</v>
      </c>
    </row>
    <row r="606">
      <c r="A606" s="36"/>
      <c r="B606" s="37">
        <v>30.438422467680475</v>
      </c>
    </row>
    <row r="607">
      <c r="A607" s="36"/>
      <c r="B607" s="37">
        <v>68.51842246768047</v>
      </c>
    </row>
    <row r="608">
      <c r="A608" s="36"/>
      <c r="B608" s="37">
        <v>11.918422467680474</v>
      </c>
    </row>
    <row r="609">
      <c r="A609" s="36"/>
      <c r="B609" s="37">
        <v>23.968422467680476</v>
      </c>
    </row>
    <row r="610">
      <c r="A610" s="36"/>
      <c r="B610" s="37">
        <v>45.978422467680474</v>
      </c>
    </row>
    <row r="611">
      <c r="A611" s="36"/>
      <c r="B611" s="37">
        <v>65.28842246768046</v>
      </c>
    </row>
    <row r="612">
      <c r="A612" s="36"/>
      <c r="B612" s="37">
        <v>15.548422467680473</v>
      </c>
    </row>
    <row r="613">
      <c r="A613" s="36"/>
      <c r="B613" s="37">
        <v>66.58842246768047</v>
      </c>
    </row>
    <row r="614">
      <c r="A614" s="36"/>
      <c r="B614" s="37">
        <v>13.328422467680474</v>
      </c>
    </row>
    <row r="615">
      <c r="A615" s="36"/>
      <c r="B615" s="37">
        <v>28.828422467680475</v>
      </c>
    </row>
    <row r="616">
      <c r="A616" s="36"/>
      <c r="B616" s="37">
        <v>1.2784224676804736</v>
      </c>
    </row>
    <row r="617">
      <c r="A617" s="36"/>
      <c r="B617" s="37">
        <v>24.838422467680473</v>
      </c>
    </row>
    <row r="618">
      <c r="A618" s="36"/>
      <c r="B618" s="37">
        <v>35.658422467680474</v>
      </c>
    </row>
    <row r="619">
      <c r="A619" s="36"/>
      <c r="B619" s="37">
        <v>51.648422467680476</v>
      </c>
    </row>
    <row r="620">
      <c r="A620" s="36"/>
      <c r="B620" s="37">
        <v>39.59842246768047</v>
      </c>
    </row>
    <row r="621">
      <c r="A621" s="36"/>
      <c r="B621" s="37">
        <v>34.94842246768047</v>
      </c>
    </row>
    <row r="622">
      <c r="A622" s="36"/>
      <c r="B622" s="37">
        <v>2.2884224676804736</v>
      </c>
    </row>
    <row r="623">
      <c r="A623" s="36"/>
      <c r="B623" s="37">
        <v>0.41842246768047375</v>
      </c>
    </row>
    <row r="624">
      <c r="A624" s="36"/>
      <c r="B624" s="37">
        <v>13.278422467680473</v>
      </c>
    </row>
    <row r="625">
      <c r="A625" s="36"/>
      <c r="B625" s="37">
        <v>22.558422467680476</v>
      </c>
    </row>
    <row r="626">
      <c r="A626" s="36"/>
      <c r="B626" s="37">
        <v>10.918422467680474</v>
      </c>
    </row>
    <row r="627">
      <c r="A627" s="36"/>
      <c r="B627" s="37">
        <v>12.408422467680474</v>
      </c>
    </row>
    <row r="628">
      <c r="A628" s="36"/>
      <c r="B628" s="37">
        <v>2.6184224676804737</v>
      </c>
    </row>
    <row r="629">
      <c r="A629" s="36"/>
      <c r="B629" s="37">
        <v>52.49842246768048</v>
      </c>
    </row>
    <row r="630">
      <c r="A630" s="36"/>
      <c r="B630" s="37">
        <v>13.178422467680473</v>
      </c>
    </row>
    <row r="631">
      <c r="A631" s="36"/>
      <c r="B631" s="37">
        <v>3.0484224676804743</v>
      </c>
    </row>
    <row r="632">
      <c r="A632" s="36"/>
      <c r="B632" s="37">
        <v>2.3284224676804737</v>
      </c>
    </row>
    <row r="633">
      <c r="A633" s="36"/>
      <c r="B633" s="37">
        <v>46.84842246768047</v>
      </c>
    </row>
    <row r="634">
      <c r="A634" s="36"/>
      <c r="B634" s="37">
        <v>30.058422467680476</v>
      </c>
    </row>
    <row r="635">
      <c r="A635" s="36"/>
      <c r="B635" s="37">
        <v>40.548422467680474</v>
      </c>
    </row>
    <row r="636">
      <c r="A636" s="36"/>
      <c r="B636" s="37">
        <v>37.658422467680474</v>
      </c>
    </row>
    <row r="637">
      <c r="A637" s="36"/>
      <c r="B637" s="37">
        <v>3.2084224676804736</v>
      </c>
    </row>
    <row r="638">
      <c r="A638" s="36"/>
      <c r="B638" s="37">
        <v>2.1684224676804735</v>
      </c>
    </row>
    <row r="639">
      <c r="A639" s="36"/>
      <c r="B639" s="37">
        <v>10.898422467680474</v>
      </c>
    </row>
    <row r="640">
      <c r="A640" s="36"/>
      <c r="B640" s="37">
        <v>13.468422467680472</v>
      </c>
    </row>
    <row r="641">
      <c r="A641" s="36"/>
      <c r="B641" s="37">
        <v>10.978422467680472</v>
      </c>
    </row>
    <row r="642">
      <c r="A642" s="36"/>
      <c r="B642" s="37">
        <v>58.10842246768048</v>
      </c>
    </row>
    <row r="643">
      <c r="A643" s="36"/>
      <c r="B643" s="37">
        <v>36.60842246768048</v>
      </c>
    </row>
    <row r="644">
      <c r="A644" s="36"/>
      <c r="B644" s="37">
        <v>17.968422467680476</v>
      </c>
    </row>
    <row r="645">
      <c r="A645" s="36"/>
      <c r="B645" s="37">
        <v>67.29842246768047</v>
      </c>
    </row>
    <row r="646">
      <c r="A646" s="36"/>
      <c r="B646" s="37">
        <v>50.938422467680475</v>
      </c>
    </row>
    <row r="647">
      <c r="A647" s="36"/>
      <c r="B647" s="37">
        <v>10.618422467680473</v>
      </c>
    </row>
    <row r="648">
      <c r="A648" s="36"/>
      <c r="B648" s="37">
        <v>12.338422467680473</v>
      </c>
    </row>
    <row r="649">
      <c r="A649" s="36"/>
      <c r="B649" s="37">
        <v>24.558422467680476</v>
      </c>
    </row>
    <row r="650">
      <c r="A650" s="36"/>
      <c r="B650" s="37">
        <v>40.38842246768048</v>
      </c>
    </row>
    <row r="651">
      <c r="A651" s="36"/>
      <c r="B651" s="37">
        <v>46.59842246768047</v>
      </c>
    </row>
    <row r="652">
      <c r="A652" s="36"/>
      <c r="B652" s="37">
        <v>11.858422467680473</v>
      </c>
    </row>
    <row r="653">
      <c r="A653" s="36"/>
      <c r="B653" s="37">
        <v>18.118422467680475</v>
      </c>
    </row>
    <row r="654">
      <c r="A654" s="36"/>
      <c r="B654" s="37">
        <v>11.658422467680474</v>
      </c>
    </row>
    <row r="655">
      <c r="A655" s="36"/>
      <c r="B655" s="37">
        <v>10.198422467680473</v>
      </c>
    </row>
    <row r="656">
      <c r="A656" s="36"/>
      <c r="B656" s="37">
        <v>17.268422467680473</v>
      </c>
    </row>
    <row r="657">
      <c r="A657" s="36"/>
      <c r="B657" s="37">
        <v>14.098422467680473</v>
      </c>
    </row>
    <row r="658">
      <c r="A658" s="36"/>
      <c r="B658" s="37">
        <v>12.698422467680473</v>
      </c>
    </row>
    <row r="659">
      <c r="A659" s="36"/>
      <c r="B659" s="37">
        <v>61.228422467680474</v>
      </c>
    </row>
    <row r="660">
      <c r="A660" s="36"/>
      <c r="B660" s="37">
        <v>10.708422467680473</v>
      </c>
    </row>
    <row r="661">
      <c r="A661" s="36"/>
      <c r="B661" s="37">
        <v>20.898422467680476</v>
      </c>
    </row>
    <row r="662">
      <c r="A662" s="36"/>
      <c r="B662" s="37">
        <v>34.538422467680476</v>
      </c>
    </row>
    <row r="663">
      <c r="A663" s="36"/>
      <c r="B663" s="37">
        <v>31.108422467680477</v>
      </c>
    </row>
    <row r="664">
      <c r="A664" s="36"/>
      <c r="B664" s="37">
        <v>18.318422467680474</v>
      </c>
    </row>
    <row r="665">
      <c r="A665" s="36"/>
      <c r="B665" s="37">
        <v>45.83842246768047</v>
      </c>
    </row>
    <row r="666">
      <c r="A666" s="36"/>
      <c r="B666" s="37">
        <v>9.288422467680473</v>
      </c>
    </row>
    <row r="667">
      <c r="A667" s="36"/>
      <c r="B667" s="37">
        <v>14.668422467680474</v>
      </c>
    </row>
    <row r="668">
      <c r="A668" s="36"/>
      <c r="B668" s="37">
        <v>16.228422467680474</v>
      </c>
    </row>
    <row r="669">
      <c r="A669" s="36"/>
      <c r="B669" s="37">
        <v>13.388422467680472</v>
      </c>
    </row>
    <row r="670">
      <c r="A670" s="36"/>
      <c r="B670" s="37">
        <v>2.688422467680474</v>
      </c>
    </row>
    <row r="671">
      <c r="A671" s="36"/>
      <c r="B671" s="37">
        <v>38.30842246768047</v>
      </c>
    </row>
    <row r="672">
      <c r="A672" s="36"/>
      <c r="B672" s="37">
        <v>13.018422467680473</v>
      </c>
    </row>
    <row r="673">
      <c r="A673" s="36"/>
      <c r="B673" s="37">
        <v>57.12842246768047</v>
      </c>
    </row>
    <row r="674">
      <c r="A674" s="36"/>
      <c r="B674" s="37">
        <v>7.098422467680474</v>
      </c>
    </row>
    <row r="675">
      <c r="A675" s="36"/>
      <c r="B675" s="37">
        <v>31.058422467680472</v>
      </c>
    </row>
    <row r="676">
      <c r="A676" s="36"/>
      <c r="B676" s="37">
        <v>58.33842246768047</v>
      </c>
    </row>
    <row r="677">
      <c r="A677" s="36"/>
      <c r="B677" s="37">
        <v>9.488422467680474</v>
      </c>
    </row>
    <row r="678">
      <c r="A678" s="36"/>
      <c r="B678" s="37">
        <v>32.76842246768047</v>
      </c>
    </row>
    <row r="679">
      <c r="A679" s="36"/>
      <c r="B679" s="37">
        <v>53.658422467680474</v>
      </c>
    </row>
    <row r="680">
      <c r="A680" s="36"/>
      <c r="B680" s="37">
        <v>31.438422467680475</v>
      </c>
    </row>
    <row r="681">
      <c r="A681" s="36"/>
      <c r="B681" s="37">
        <v>11.748422467680474</v>
      </c>
    </row>
    <row r="682">
      <c r="A682" s="36"/>
      <c r="B682" s="37">
        <v>14.258422467680473</v>
      </c>
    </row>
    <row r="683">
      <c r="A683" s="36"/>
      <c r="B683" s="37">
        <v>13.368422467680473</v>
      </c>
    </row>
    <row r="684">
      <c r="A684" s="36"/>
      <c r="B684" s="37">
        <v>32.898422467680476</v>
      </c>
    </row>
    <row r="685">
      <c r="A685" s="36"/>
      <c r="B685" s="37">
        <v>9.628422467680473</v>
      </c>
    </row>
    <row r="686">
      <c r="A686" s="36"/>
      <c r="B686" s="37">
        <v>74.87842246768047</v>
      </c>
    </row>
    <row r="687">
      <c r="A687" s="36"/>
      <c r="B687" s="37">
        <v>63.88842246768048</v>
      </c>
    </row>
    <row r="688">
      <c r="A688" s="36"/>
      <c r="B688" s="37">
        <v>2.308422467680474</v>
      </c>
    </row>
    <row r="689">
      <c r="A689" s="36"/>
      <c r="B689" s="37">
        <v>69.94842246768047</v>
      </c>
    </row>
    <row r="690">
      <c r="A690" s="36"/>
      <c r="B690" s="37">
        <v>11.348422467680473</v>
      </c>
    </row>
    <row r="691">
      <c r="A691" s="36"/>
      <c r="B691" s="37">
        <v>39.968422467680476</v>
      </c>
    </row>
    <row r="692">
      <c r="A692" s="36"/>
      <c r="B692" s="37">
        <v>45.258422467680475</v>
      </c>
    </row>
    <row r="693">
      <c r="A693" s="36"/>
      <c r="B693" s="37">
        <v>40.56842246768048</v>
      </c>
    </row>
    <row r="694">
      <c r="A694" s="36"/>
      <c r="B694" s="37">
        <v>10.488422467680474</v>
      </c>
    </row>
    <row r="695">
      <c r="A695" s="36"/>
      <c r="B695" s="37">
        <v>9.708422467680473</v>
      </c>
    </row>
    <row r="696">
      <c r="A696" s="36"/>
      <c r="B696" s="37">
        <v>35.91842246768047</v>
      </c>
    </row>
    <row r="697">
      <c r="A697" s="36"/>
      <c r="B697" s="37">
        <v>50.24842246768048</v>
      </c>
    </row>
    <row r="698">
      <c r="A698" s="36"/>
      <c r="B698" s="37">
        <v>3.0384224676804736</v>
      </c>
    </row>
    <row r="699">
      <c r="A699" s="36"/>
      <c r="B699" s="37">
        <v>9.748422467680474</v>
      </c>
    </row>
    <row r="700">
      <c r="A700" s="36"/>
      <c r="B700" s="37">
        <v>22.838422467680473</v>
      </c>
    </row>
    <row r="701">
      <c r="A701" s="36"/>
      <c r="B701" s="37">
        <v>31.608422467680477</v>
      </c>
    </row>
    <row r="702">
      <c r="A702" s="36"/>
      <c r="B702" s="37">
        <v>31.648422467680476</v>
      </c>
    </row>
    <row r="703">
      <c r="A703" s="36"/>
      <c r="B703" s="37">
        <v>21.688422467680475</v>
      </c>
    </row>
    <row r="704">
      <c r="A704" s="36"/>
      <c r="B704" s="37">
        <v>10.768422467680473</v>
      </c>
    </row>
    <row r="705">
      <c r="A705" s="36"/>
      <c r="B705" s="37">
        <v>48.908422467680474</v>
      </c>
    </row>
    <row r="706">
      <c r="A706" s="36"/>
      <c r="B706" s="37">
        <v>13.158422467680474</v>
      </c>
    </row>
    <row r="707">
      <c r="A707" s="36"/>
      <c r="B707" s="37">
        <v>21.858422467680477</v>
      </c>
    </row>
    <row r="708">
      <c r="A708" s="36"/>
      <c r="B708" s="37">
        <v>20.268422467680473</v>
      </c>
    </row>
    <row r="709">
      <c r="A709" s="36"/>
      <c r="B709" s="37">
        <v>9.648422467680474</v>
      </c>
    </row>
    <row r="710">
      <c r="A710" s="36"/>
      <c r="B710" s="37">
        <v>1.4884224676804736</v>
      </c>
    </row>
    <row r="711">
      <c r="A711" s="36"/>
      <c r="B711" s="37">
        <v>13.588422467680473</v>
      </c>
    </row>
    <row r="712">
      <c r="A712" s="36"/>
      <c r="B712" s="37">
        <v>2.8384224676804735</v>
      </c>
    </row>
    <row r="713">
      <c r="A713" s="36"/>
      <c r="B713" s="37">
        <v>37.978422467680474</v>
      </c>
    </row>
    <row r="714">
      <c r="A714" s="36"/>
      <c r="B714" s="37">
        <v>40.60842246768048</v>
      </c>
    </row>
    <row r="715">
      <c r="A715" s="36"/>
      <c r="B715" s="37">
        <v>32.80842246768047</v>
      </c>
    </row>
    <row r="716">
      <c r="A716" s="36"/>
      <c r="B716" s="37">
        <v>34.17842246768048</v>
      </c>
    </row>
    <row r="717">
      <c r="A717" s="36"/>
      <c r="B717" s="37">
        <v>11.838422467680473</v>
      </c>
    </row>
    <row r="718">
      <c r="A718" s="36"/>
      <c r="B718" s="37">
        <v>63.81842246768047</v>
      </c>
    </row>
    <row r="719">
      <c r="A719" s="36"/>
      <c r="B719" s="37">
        <v>10.968422467680472</v>
      </c>
    </row>
    <row r="720">
      <c r="A720" s="36"/>
      <c r="B720" s="37">
        <v>13.898422467680474</v>
      </c>
    </row>
    <row r="721">
      <c r="A721" s="36"/>
      <c r="B721" s="37">
        <v>45.33842246768047</v>
      </c>
    </row>
    <row r="722">
      <c r="A722" s="36"/>
      <c r="B722" s="37">
        <v>30.928422467680473</v>
      </c>
    </row>
    <row r="723">
      <c r="A723" s="36"/>
      <c r="B723" s="37">
        <v>11.548422467680473</v>
      </c>
    </row>
    <row r="724">
      <c r="A724" s="36"/>
      <c r="B724" s="37">
        <v>8.868422467680473</v>
      </c>
    </row>
    <row r="725">
      <c r="A725" s="36"/>
      <c r="B725" s="37">
        <v>2.1684224676804735</v>
      </c>
    </row>
    <row r="726">
      <c r="A726" s="36"/>
      <c r="B726" s="37">
        <v>63.83842246768048</v>
      </c>
    </row>
    <row r="727">
      <c r="A727" s="36"/>
      <c r="B727" s="37">
        <v>30.178422467680473</v>
      </c>
    </row>
    <row r="728">
      <c r="A728" s="36"/>
      <c r="B728" s="37">
        <v>45.298422467680474</v>
      </c>
    </row>
    <row r="729">
      <c r="A729" s="36"/>
      <c r="B729" s="37">
        <v>22.318422467680474</v>
      </c>
    </row>
    <row r="730">
      <c r="A730" s="36"/>
      <c r="B730" s="37">
        <v>11.888422467680472</v>
      </c>
    </row>
    <row r="731">
      <c r="A731" s="36"/>
      <c r="B731" s="37">
        <v>9.648422467680474</v>
      </c>
    </row>
    <row r="732">
      <c r="A732" s="36"/>
      <c r="B732" s="37">
        <v>66.86842246768047</v>
      </c>
    </row>
    <row r="733">
      <c r="A733" s="36"/>
      <c r="B733" s="37">
        <v>0.3284224676804737</v>
      </c>
    </row>
    <row r="734">
      <c r="A734" s="36"/>
      <c r="B734" s="37">
        <v>20.118422467680475</v>
      </c>
    </row>
    <row r="735">
      <c r="A735" s="36"/>
      <c r="B735" s="37">
        <v>51.08842246768047</v>
      </c>
    </row>
    <row r="736">
      <c r="A736" s="36"/>
      <c r="B736" s="37">
        <v>1.8084224676804739</v>
      </c>
    </row>
    <row r="737">
      <c r="A737" s="36"/>
      <c r="B737" s="37">
        <v>37.798422467680474</v>
      </c>
    </row>
    <row r="738">
      <c r="A738" s="36"/>
      <c r="B738" s="37">
        <v>36.10842246768048</v>
      </c>
    </row>
    <row r="739">
      <c r="A739" s="36"/>
      <c r="B739" s="37">
        <v>17.728422467680474</v>
      </c>
    </row>
    <row r="740">
      <c r="A740" s="36"/>
      <c r="B740" s="37">
        <v>0.4584224676804738</v>
      </c>
    </row>
    <row r="741">
      <c r="A741" s="36"/>
      <c r="B741" s="37">
        <v>11.828422467680474</v>
      </c>
    </row>
    <row r="742">
      <c r="A742" s="36"/>
      <c r="B742" s="37">
        <v>1.1084224676804737</v>
      </c>
    </row>
    <row r="743">
      <c r="A743" s="36"/>
      <c r="B743" s="37">
        <v>29.188422467680475</v>
      </c>
    </row>
    <row r="744">
      <c r="A744" s="36"/>
      <c r="B744" s="37">
        <v>41.118422467680475</v>
      </c>
    </row>
    <row r="745">
      <c r="A745" s="36"/>
      <c r="B745" s="37">
        <v>15.258422467680473</v>
      </c>
    </row>
    <row r="746">
      <c r="A746" s="36"/>
      <c r="B746" s="37">
        <v>16.308422467680476</v>
      </c>
    </row>
    <row r="747">
      <c r="A747" s="36"/>
      <c r="B747" s="37">
        <v>23.288422467680476</v>
      </c>
    </row>
    <row r="748">
      <c r="A748" s="36"/>
      <c r="B748" s="37">
        <v>25.508422467680475</v>
      </c>
    </row>
    <row r="749">
      <c r="A749" s="36"/>
      <c r="B749" s="37">
        <v>12.208422467680473</v>
      </c>
    </row>
    <row r="750">
      <c r="A750" s="36"/>
      <c r="B750" s="37">
        <v>24.958422467680474</v>
      </c>
    </row>
    <row r="751">
      <c r="A751" s="36"/>
      <c r="B751" s="37">
        <v>38.34842246768047</v>
      </c>
    </row>
    <row r="752">
      <c r="A752" s="36"/>
      <c r="B752" s="37">
        <v>22.618422467680475</v>
      </c>
    </row>
    <row r="753">
      <c r="A753" s="36"/>
      <c r="B753" s="37">
        <v>45.51842246768047</v>
      </c>
    </row>
    <row r="754">
      <c r="A754" s="36"/>
      <c r="B754" s="37">
        <v>27.138422467680474</v>
      </c>
    </row>
    <row r="755">
      <c r="A755" s="36"/>
      <c r="B755" s="37">
        <v>31.478422467680474</v>
      </c>
    </row>
    <row r="756">
      <c r="A756" s="36"/>
      <c r="B756" s="37">
        <v>49.88842246768048</v>
      </c>
    </row>
    <row r="757">
      <c r="A757" s="36"/>
      <c r="B757" s="37">
        <v>29.588422467680473</v>
      </c>
    </row>
    <row r="758">
      <c r="A758" s="36"/>
      <c r="B758" s="37">
        <v>31.258422467680475</v>
      </c>
    </row>
    <row r="759">
      <c r="A759" s="36"/>
      <c r="B759" s="37">
        <v>64.20842246768046</v>
      </c>
    </row>
    <row r="760">
      <c r="A760" s="36"/>
      <c r="B760" s="37">
        <v>62.74842246768048</v>
      </c>
    </row>
    <row r="761">
      <c r="A761" s="36"/>
      <c r="B761" s="37">
        <v>3.058422467680474</v>
      </c>
    </row>
    <row r="762">
      <c r="A762" s="36"/>
      <c r="B762" s="37">
        <v>43.27842246768048</v>
      </c>
    </row>
    <row r="763">
      <c r="A763" s="36"/>
      <c r="B763" s="37">
        <v>49.158422467680474</v>
      </c>
    </row>
    <row r="764">
      <c r="A764" s="36"/>
      <c r="B764" s="37">
        <v>14.738422467680474</v>
      </c>
    </row>
    <row r="765">
      <c r="A765" s="36"/>
      <c r="B765" s="37">
        <v>28.458422467680474</v>
      </c>
    </row>
    <row r="766">
      <c r="A766" s="36"/>
      <c r="B766" s="37">
        <v>11.558422467680472</v>
      </c>
    </row>
    <row r="767">
      <c r="A767" s="36"/>
      <c r="B767" s="37">
        <v>29.358422467680477</v>
      </c>
    </row>
    <row r="768">
      <c r="A768" s="36"/>
      <c r="B768" s="37">
        <v>1.3784224676804737</v>
      </c>
    </row>
    <row r="769">
      <c r="A769" s="36"/>
      <c r="B769" s="37">
        <v>37.508422467680475</v>
      </c>
    </row>
    <row r="770">
      <c r="A770" s="36"/>
      <c r="B770" s="37">
        <v>29.748422467680474</v>
      </c>
    </row>
    <row r="771">
      <c r="A771" s="36"/>
      <c r="B771" s="37">
        <v>26.278422467680475</v>
      </c>
    </row>
    <row r="772">
      <c r="A772" s="36"/>
      <c r="B772" s="37">
        <v>26.798422467680474</v>
      </c>
    </row>
    <row r="773">
      <c r="A773" s="36"/>
      <c r="B773" s="37">
        <v>10.388422467680472</v>
      </c>
    </row>
    <row r="774">
      <c r="A774" s="36"/>
      <c r="B774" s="37">
        <v>12.658422467680474</v>
      </c>
    </row>
    <row r="775">
      <c r="A775" s="36"/>
      <c r="B775" s="37">
        <v>29.118422467680475</v>
      </c>
    </row>
    <row r="776">
      <c r="A776" s="36"/>
      <c r="B776" s="37">
        <v>15.408422467680472</v>
      </c>
    </row>
    <row r="777">
      <c r="A777" s="36"/>
      <c r="B777" s="37">
        <v>32.58842246768047</v>
      </c>
    </row>
    <row r="778">
      <c r="A778" s="36"/>
      <c r="B778" s="37">
        <v>28.718422467680476</v>
      </c>
    </row>
    <row r="779">
      <c r="A779" s="36"/>
      <c r="B779" s="37">
        <v>31.628422467680473</v>
      </c>
    </row>
    <row r="780">
      <c r="A780" s="36"/>
      <c r="B780" s="37">
        <v>68.45842246768046</v>
      </c>
    </row>
    <row r="781">
      <c r="A781" s="36"/>
      <c r="B781" s="37">
        <v>17.558422467680476</v>
      </c>
    </row>
    <row r="782">
      <c r="A782" s="36"/>
      <c r="B782" s="37">
        <v>45.48842246768047</v>
      </c>
    </row>
    <row r="783">
      <c r="A783" s="36"/>
      <c r="B783" s="37">
        <v>1.408422467680474</v>
      </c>
    </row>
    <row r="784">
      <c r="A784" s="36"/>
      <c r="B784" s="37">
        <v>11.408422467680474</v>
      </c>
    </row>
    <row r="785">
      <c r="A785" s="36"/>
      <c r="B785" s="37">
        <v>75.98842246768046</v>
      </c>
    </row>
    <row r="786">
      <c r="A786" s="36"/>
      <c r="B786" s="37">
        <v>11.508422467680473</v>
      </c>
    </row>
    <row r="787">
      <c r="A787" s="36"/>
      <c r="B787" s="37">
        <v>11.488422467680474</v>
      </c>
    </row>
    <row r="788">
      <c r="A788" s="36"/>
      <c r="B788" s="37">
        <v>38.51842246768047</v>
      </c>
    </row>
    <row r="789">
      <c r="A789" s="36"/>
      <c r="B789" s="37">
        <v>9.358422467680473</v>
      </c>
    </row>
    <row r="790">
      <c r="A790" s="36"/>
      <c r="B790" s="37">
        <v>1.4384224676804738</v>
      </c>
    </row>
    <row r="791">
      <c r="A791" s="36"/>
      <c r="B791" s="37">
        <v>1.0584224676804739</v>
      </c>
    </row>
    <row r="792">
      <c r="A792" s="36"/>
      <c r="B792" s="37">
        <v>2.318422467680474</v>
      </c>
    </row>
    <row r="793">
      <c r="A793" s="36"/>
      <c r="B793" s="37">
        <v>26.208422467680474</v>
      </c>
    </row>
    <row r="794">
      <c r="A794" s="36"/>
      <c r="B794" s="37">
        <v>25.148422467680476</v>
      </c>
    </row>
    <row r="795">
      <c r="A795" s="36"/>
      <c r="B795" s="37">
        <v>10.838422467680473</v>
      </c>
    </row>
    <row r="796">
      <c r="A796" s="36"/>
      <c r="B796" s="37">
        <v>33.73842246768047</v>
      </c>
    </row>
    <row r="797">
      <c r="A797" s="36"/>
      <c r="B797" s="37">
        <v>37.078422467680475</v>
      </c>
    </row>
    <row r="798">
      <c r="A798" s="36"/>
      <c r="B798" s="37">
        <v>35.968422467680476</v>
      </c>
    </row>
    <row r="799">
      <c r="A799" s="36"/>
      <c r="B799" s="37">
        <v>36.17842246768048</v>
      </c>
    </row>
    <row r="800">
      <c r="A800" s="36"/>
      <c r="B800" s="37">
        <v>28.138422467680474</v>
      </c>
    </row>
    <row r="801">
      <c r="A801" s="36"/>
      <c r="B801" s="37">
        <v>41.13842246768048</v>
      </c>
    </row>
    <row r="802">
      <c r="A802" s="36"/>
      <c r="B802" s="37">
        <v>7.918422467680474</v>
      </c>
    </row>
    <row r="803">
      <c r="A803" s="36"/>
      <c r="B803" s="37">
        <v>37.41842246768047</v>
      </c>
    </row>
    <row r="804">
      <c r="A804" s="36"/>
      <c r="B804" s="37">
        <v>15.238422467680474</v>
      </c>
    </row>
    <row r="805">
      <c r="A805" s="36"/>
      <c r="B805" s="37">
        <v>64.12842246768047</v>
      </c>
    </row>
    <row r="806">
      <c r="A806" s="36"/>
      <c r="B806" s="37">
        <v>26.558422467680476</v>
      </c>
    </row>
    <row r="807">
      <c r="A807" s="36"/>
      <c r="B807" s="37">
        <v>23.718422467680476</v>
      </c>
    </row>
    <row r="808">
      <c r="A808" s="36"/>
      <c r="B808" s="37">
        <v>16.078422467680475</v>
      </c>
    </row>
    <row r="809">
      <c r="A809" s="36"/>
      <c r="B809" s="37">
        <v>31.038422467680476</v>
      </c>
    </row>
    <row r="810">
      <c r="A810" s="36"/>
      <c r="B810" s="37">
        <v>54.908422467680474</v>
      </c>
    </row>
    <row r="811">
      <c r="A811" s="36"/>
      <c r="B811" s="37">
        <v>10.588422467680473</v>
      </c>
    </row>
    <row r="812">
      <c r="A812" s="36"/>
      <c r="B812" s="37">
        <v>38.408422467680474</v>
      </c>
    </row>
    <row r="813">
      <c r="A813" s="36"/>
      <c r="B813" s="37">
        <v>15.448422467680475</v>
      </c>
    </row>
    <row r="814">
      <c r="A814" s="36"/>
      <c r="B814" s="37">
        <v>23.668422467680475</v>
      </c>
    </row>
    <row r="815">
      <c r="A815" s="36"/>
      <c r="B815" s="37">
        <v>14.808422467680472</v>
      </c>
    </row>
    <row r="816">
      <c r="A816" s="36"/>
      <c r="B816" s="37">
        <v>15.268422467680471</v>
      </c>
    </row>
    <row r="817">
      <c r="A817" s="36"/>
      <c r="B817" s="37">
        <v>9.768422467680473</v>
      </c>
    </row>
    <row r="818">
      <c r="A818" s="36"/>
      <c r="B818" s="37">
        <v>37.84842246768047</v>
      </c>
    </row>
    <row r="819">
      <c r="A819" s="36"/>
      <c r="B819" s="37">
        <v>26.828422467680475</v>
      </c>
    </row>
    <row r="820">
      <c r="A820" s="36"/>
      <c r="B820" s="37">
        <v>2.108422467680474</v>
      </c>
    </row>
    <row r="821">
      <c r="A821" s="36"/>
      <c r="B821" s="37">
        <v>9.938422467680473</v>
      </c>
    </row>
    <row r="822">
      <c r="A822" s="36"/>
      <c r="B822" s="37">
        <v>55.52842246768048</v>
      </c>
    </row>
    <row r="823">
      <c r="A823" s="36"/>
      <c r="B823" s="37">
        <v>9.008422467680473</v>
      </c>
    </row>
    <row r="824">
      <c r="A824" s="36"/>
      <c r="B824" s="37">
        <v>12.948422467680473</v>
      </c>
    </row>
    <row r="825">
      <c r="A825" s="36"/>
      <c r="B825" s="37">
        <v>1.4784224676804738</v>
      </c>
    </row>
    <row r="826">
      <c r="A826" s="36"/>
      <c r="B826" s="37">
        <v>35.55842246768047</v>
      </c>
    </row>
    <row r="827">
      <c r="A827" s="36"/>
      <c r="B827" s="37">
        <v>1.678422467680474</v>
      </c>
    </row>
    <row r="828">
      <c r="A828" s="36"/>
      <c r="B828" s="37">
        <v>2.688422467680474</v>
      </c>
    </row>
    <row r="829">
      <c r="A829" s="36"/>
      <c r="B829" s="37">
        <v>2.0784224676804737</v>
      </c>
    </row>
    <row r="830">
      <c r="A830" s="36"/>
      <c r="B830" s="37">
        <v>11.648422467680474</v>
      </c>
    </row>
    <row r="831">
      <c r="A831" s="36"/>
      <c r="B831" s="37">
        <v>12.768422467680473</v>
      </c>
    </row>
    <row r="832">
      <c r="A832" s="36"/>
      <c r="B832" s="37">
        <v>10.918422467680474</v>
      </c>
    </row>
    <row r="833">
      <c r="A833" s="36"/>
      <c r="B833" s="37">
        <v>28.988422467680476</v>
      </c>
    </row>
    <row r="834">
      <c r="A834" s="36"/>
      <c r="B834" s="37">
        <v>43.618422467680475</v>
      </c>
    </row>
    <row r="835">
      <c r="A835" s="36"/>
      <c r="B835" s="37">
        <v>28.548422467680474</v>
      </c>
    </row>
    <row r="836">
      <c r="A836" s="36"/>
      <c r="B836" s="37">
        <v>14.938422467680473</v>
      </c>
    </row>
    <row r="837">
      <c r="A837" s="36"/>
      <c r="B837" s="37">
        <v>0.6984224676804738</v>
      </c>
    </row>
    <row r="838">
      <c r="A838" s="36"/>
      <c r="B838" s="37">
        <v>10.168422467680474</v>
      </c>
    </row>
    <row r="839">
      <c r="A839" s="36"/>
      <c r="B839" s="37">
        <v>47.728422467680474</v>
      </c>
    </row>
    <row r="840">
      <c r="A840" s="36"/>
      <c r="B840" s="37">
        <v>17.658422467680474</v>
      </c>
    </row>
    <row r="841">
      <c r="A841" s="36"/>
      <c r="B841" s="37">
        <v>2.6684224676804735</v>
      </c>
    </row>
    <row r="842">
      <c r="A842" s="36"/>
      <c r="B842" s="37">
        <v>35.74842246768048</v>
      </c>
    </row>
    <row r="843">
      <c r="A843" s="36"/>
      <c r="B843" s="37">
        <v>59.48842246768047</v>
      </c>
    </row>
    <row r="844">
      <c r="A844" s="36"/>
      <c r="B844" s="37">
        <v>1.7484224676804738</v>
      </c>
    </row>
    <row r="845">
      <c r="A845" s="36"/>
      <c r="B845" s="37">
        <v>9.528422467680473</v>
      </c>
    </row>
    <row r="846">
      <c r="A846" s="36"/>
      <c r="B846" s="37">
        <v>38.73842246768047</v>
      </c>
    </row>
    <row r="847">
      <c r="A847" s="36"/>
      <c r="B847" s="37">
        <v>1.6484224676804737</v>
      </c>
    </row>
    <row r="848">
      <c r="A848" s="36"/>
      <c r="B848" s="37">
        <v>17.578422467680475</v>
      </c>
    </row>
    <row r="849">
      <c r="A849" s="36"/>
      <c r="B849" s="37">
        <v>3.5484224676804743</v>
      </c>
    </row>
    <row r="850">
      <c r="A850" s="36"/>
      <c r="B850" s="37">
        <v>20.408422467680474</v>
      </c>
    </row>
    <row r="851">
      <c r="A851" s="36"/>
      <c r="B851" s="37">
        <v>14.448422467680473</v>
      </c>
    </row>
    <row r="852">
      <c r="A852" s="36"/>
      <c r="B852" s="37">
        <v>9.688422467680473</v>
      </c>
    </row>
    <row r="853">
      <c r="A853" s="36"/>
      <c r="B853" s="37">
        <v>50.288422467680476</v>
      </c>
    </row>
    <row r="854">
      <c r="A854" s="36"/>
      <c r="B854" s="37">
        <v>15.508422467680473</v>
      </c>
    </row>
    <row r="855">
      <c r="A855" s="36"/>
      <c r="B855" s="37">
        <v>1.7884224676804739</v>
      </c>
    </row>
    <row r="856">
      <c r="A856" s="36"/>
      <c r="B856" s="37">
        <v>11.438422467680473</v>
      </c>
    </row>
    <row r="857">
      <c r="A857" s="36"/>
      <c r="B857" s="37">
        <v>67.69842246768047</v>
      </c>
    </row>
    <row r="858">
      <c r="A858" s="36"/>
      <c r="B858" s="37">
        <v>46.66842246768047</v>
      </c>
    </row>
    <row r="859">
      <c r="A859" s="36"/>
      <c r="B859" s="37">
        <v>10.988422467680474</v>
      </c>
    </row>
    <row r="860">
      <c r="A860" s="36"/>
      <c r="B860" s="37">
        <v>9.368422467680473</v>
      </c>
    </row>
    <row r="861">
      <c r="A861" s="36"/>
      <c r="B861" s="37">
        <v>13.598422467680473</v>
      </c>
    </row>
    <row r="862">
      <c r="A862" s="36"/>
      <c r="B862" s="37">
        <v>11.148422467680474</v>
      </c>
    </row>
    <row r="863">
      <c r="A863" s="36"/>
      <c r="B863" s="37">
        <v>11.038422467680473</v>
      </c>
    </row>
    <row r="864">
      <c r="A864" s="36"/>
      <c r="B864" s="37">
        <v>2.648422467680474</v>
      </c>
    </row>
    <row r="865">
      <c r="A865" s="36"/>
      <c r="B865" s="37">
        <v>12.538422467680473</v>
      </c>
    </row>
    <row r="866">
      <c r="A866" s="36"/>
      <c r="B866" s="37">
        <v>18.658422467680474</v>
      </c>
    </row>
    <row r="867">
      <c r="A867" s="36"/>
      <c r="B867" s="37">
        <v>14.018422467680473</v>
      </c>
    </row>
    <row r="868">
      <c r="A868" s="36"/>
      <c r="B868" s="37">
        <v>13.888422467680472</v>
      </c>
    </row>
    <row r="869">
      <c r="A869" s="36"/>
      <c r="B869" s="37">
        <v>39.438422467680475</v>
      </c>
    </row>
    <row r="870">
      <c r="A870" s="36"/>
      <c r="B870" s="37">
        <v>2.268422467680474</v>
      </c>
    </row>
    <row r="871">
      <c r="A871" s="36"/>
      <c r="B871" s="37">
        <v>9.478422467680472</v>
      </c>
    </row>
    <row r="872">
      <c r="A872" s="36"/>
      <c r="B872" s="37">
        <v>11.458422467680473</v>
      </c>
    </row>
    <row r="873">
      <c r="A873" s="36"/>
      <c r="B873" s="37">
        <v>15.568422467680472</v>
      </c>
    </row>
    <row r="874">
      <c r="A874" s="36"/>
      <c r="B874" s="37">
        <v>19.068422467680474</v>
      </c>
    </row>
    <row r="875">
      <c r="A875" s="36"/>
      <c r="B875" s="37">
        <v>36.87842246768047</v>
      </c>
    </row>
    <row r="876">
      <c r="A876" s="36"/>
      <c r="B876" s="37">
        <v>18.848422467680475</v>
      </c>
    </row>
    <row r="877">
      <c r="A877" s="36"/>
      <c r="B877" s="37">
        <v>17.578422467680475</v>
      </c>
    </row>
    <row r="878">
      <c r="A878" s="36"/>
      <c r="B878" s="37">
        <v>55.218422467680476</v>
      </c>
    </row>
    <row r="879">
      <c r="A879" s="36"/>
      <c r="B879" s="37">
        <v>13.708422467680473</v>
      </c>
    </row>
    <row r="880">
      <c r="A880" s="36"/>
      <c r="B880" s="37">
        <v>15.458422467680473</v>
      </c>
    </row>
    <row r="881">
      <c r="A881" s="36"/>
      <c r="B881" s="37">
        <v>6.408422467680474</v>
      </c>
    </row>
    <row r="882">
      <c r="A882" s="36"/>
      <c r="B882" s="37">
        <v>2.428422467680474</v>
      </c>
    </row>
    <row r="883">
      <c r="A883" s="36"/>
      <c r="B883" s="37">
        <v>61.67842246768048</v>
      </c>
    </row>
    <row r="884">
      <c r="A884" s="36"/>
      <c r="B884" s="37">
        <v>37.34842246768047</v>
      </c>
    </row>
    <row r="885">
      <c r="A885" s="36"/>
      <c r="B885" s="37">
        <v>20.308422467680476</v>
      </c>
    </row>
    <row r="886">
      <c r="A886" s="36"/>
      <c r="B886" s="37">
        <v>58.95842246768048</v>
      </c>
    </row>
    <row r="887">
      <c r="A887" s="36"/>
      <c r="B887" s="37">
        <v>12.888422467680472</v>
      </c>
    </row>
    <row r="888">
      <c r="A888" s="36"/>
      <c r="B888" s="37">
        <v>11.458422467680473</v>
      </c>
    </row>
    <row r="889">
      <c r="A889" s="36"/>
      <c r="B889" s="37">
        <v>10.118422467680473</v>
      </c>
    </row>
    <row r="890">
      <c r="A890" s="36"/>
      <c r="B890" s="37">
        <v>65.73842246768046</v>
      </c>
    </row>
    <row r="891">
      <c r="A891" s="36"/>
      <c r="B891" s="37">
        <v>10.718422467680472</v>
      </c>
    </row>
    <row r="892">
      <c r="A892" s="36"/>
      <c r="B892" s="37">
        <v>17.458422467680474</v>
      </c>
    </row>
    <row r="893">
      <c r="A893" s="36"/>
      <c r="B893" s="37">
        <v>10.568422467680474</v>
      </c>
    </row>
    <row r="894">
      <c r="A894" s="36"/>
      <c r="B894" s="37">
        <v>11.268422467680473</v>
      </c>
    </row>
    <row r="895">
      <c r="A895" s="36"/>
      <c r="B895" s="37">
        <v>18.038422467680476</v>
      </c>
    </row>
    <row r="896">
      <c r="A896" s="36"/>
      <c r="B896" s="37">
        <v>32.26842246768047</v>
      </c>
    </row>
    <row r="897">
      <c r="A897" s="36"/>
      <c r="B897" s="37">
        <v>13.738422467680474</v>
      </c>
    </row>
    <row r="898">
      <c r="A898" s="36"/>
      <c r="B898" s="37">
        <v>21.908422467680474</v>
      </c>
    </row>
    <row r="899">
      <c r="A899" s="36"/>
      <c r="B899" s="37">
        <v>13.768422467680473</v>
      </c>
    </row>
    <row r="900">
      <c r="A900" s="36"/>
      <c r="B900" s="37">
        <v>40.81842246768048</v>
      </c>
    </row>
    <row r="901">
      <c r="A901" s="36"/>
      <c r="B901" s="37">
        <v>18.158422467680474</v>
      </c>
    </row>
    <row r="902">
      <c r="A902" s="36"/>
      <c r="B902" s="37">
        <v>12.638422467680472</v>
      </c>
    </row>
    <row r="903">
      <c r="A903" s="36"/>
      <c r="B903" s="37">
        <v>9.428422467680473</v>
      </c>
    </row>
    <row r="904">
      <c r="A904" s="36"/>
      <c r="B904" s="37">
        <v>13.818422467680474</v>
      </c>
    </row>
    <row r="905">
      <c r="A905" s="36"/>
      <c r="B905" s="37">
        <v>40.978422467680474</v>
      </c>
    </row>
    <row r="906">
      <c r="A906" s="36"/>
      <c r="B906" s="37">
        <v>39.19842246768047</v>
      </c>
    </row>
    <row r="907">
      <c r="A907" s="36"/>
      <c r="B907" s="37">
        <v>17.558422467680476</v>
      </c>
    </row>
    <row r="908">
      <c r="A908" s="36"/>
      <c r="B908" s="37">
        <v>10.708422467680473</v>
      </c>
    </row>
    <row r="909">
      <c r="A909" s="36"/>
      <c r="B909" s="37">
        <v>8.868422467680473</v>
      </c>
    </row>
    <row r="910">
      <c r="A910" s="36"/>
      <c r="B910" s="37">
        <v>63.88842246768048</v>
      </c>
    </row>
    <row r="911">
      <c r="A911" s="36"/>
      <c r="B911" s="37">
        <v>34.938422467680475</v>
      </c>
    </row>
    <row r="912">
      <c r="A912" s="36"/>
      <c r="B912" s="37">
        <v>3.8784224676804744</v>
      </c>
    </row>
    <row r="913">
      <c r="A913" s="36"/>
      <c r="B913" s="37">
        <v>0.6484224676804737</v>
      </c>
    </row>
    <row r="914">
      <c r="A914" s="36"/>
      <c r="B914" s="37">
        <v>13.968422467680472</v>
      </c>
    </row>
    <row r="915">
      <c r="A915" s="36"/>
      <c r="B915" s="37">
        <v>10.778422467680473</v>
      </c>
    </row>
    <row r="916">
      <c r="A916" s="36"/>
      <c r="B916" s="37">
        <v>16.588422467680473</v>
      </c>
    </row>
    <row r="917">
      <c r="A917" s="36"/>
      <c r="B917" s="37">
        <v>16.278422467680475</v>
      </c>
    </row>
    <row r="918">
      <c r="A918" s="36"/>
      <c r="B918" s="37">
        <v>36.508422467680475</v>
      </c>
    </row>
    <row r="919">
      <c r="A919" s="36"/>
      <c r="B919" s="37">
        <v>16.328422467680475</v>
      </c>
    </row>
    <row r="920">
      <c r="A920" s="36"/>
      <c r="B920" s="37">
        <v>9.378422467680473</v>
      </c>
    </row>
    <row r="921">
      <c r="A921" s="36"/>
      <c r="B921" s="37">
        <v>4.338422467680474</v>
      </c>
    </row>
    <row r="922">
      <c r="A922" s="36"/>
      <c r="B922" s="37">
        <v>10.668422467680474</v>
      </c>
    </row>
    <row r="923">
      <c r="A923" s="36"/>
      <c r="B923" s="37">
        <v>36.27842246768048</v>
      </c>
    </row>
    <row r="924">
      <c r="A924" s="36"/>
      <c r="B924" s="37">
        <v>16.568422467680474</v>
      </c>
    </row>
    <row r="925">
      <c r="A925" s="36"/>
      <c r="B925" s="37">
        <v>31.34842246768047</v>
      </c>
    </row>
    <row r="926">
      <c r="A926" s="36"/>
      <c r="B926" s="37">
        <v>31.858422467680477</v>
      </c>
    </row>
    <row r="927">
      <c r="A927" s="36"/>
      <c r="B927" s="37">
        <v>12.628422467680473</v>
      </c>
    </row>
    <row r="928">
      <c r="A928" s="36"/>
      <c r="B928" s="37">
        <v>9.118422467680473</v>
      </c>
    </row>
    <row r="929">
      <c r="A929" s="36"/>
      <c r="B929" s="37">
        <v>36.76842246768047</v>
      </c>
    </row>
    <row r="930">
      <c r="A930" s="36"/>
      <c r="B930" s="37">
        <v>24.728422467680474</v>
      </c>
    </row>
    <row r="931">
      <c r="A931" s="36"/>
      <c r="B931" s="37">
        <v>12.988422467680474</v>
      </c>
    </row>
    <row r="932">
      <c r="A932" s="36"/>
      <c r="B932" s="37">
        <v>30.168422467680475</v>
      </c>
    </row>
    <row r="933">
      <c r="A933" s="36"/>
      <c r="B933" s="37">
        <v>11.108422467680473</v>
      </c>
    </row>
    <row r="934">
      <c r="A934" s="36"/>
      <c r="B934" s="37">
        <v>31.34842246768047</v>
      </c>
    </row>
    <row r="935">
      <c r="A935" s="36"/>
      <c r="B935" s="37">
        <v>12.148422467680474</v>
      </c>
    </row>
    <row r="936">
      <c r="A936" s="36"/>
      <c r="B936" s="37">
        <v>34.728422467680474</v>
      </c>
    </row>
    <row r="937">
      <c r="A937" s="36"/>
      <c r="B937" s="37">
        <v>2.768422467680474</v>
      </c>
    </row>
    <row r="938">
      <c r="A938" s="36"/>
      <c r="B938" s="37">
        <v>14.608422467680473</v>
      </c>
    </row>
    <row r="939">
      <c r="A939" s="36"/>
      <c r="B939" s="37">
        <v>2.7184224676804734</v>
      </c>
    </row>
    <row r="940">
      <c r="A940" s="36"/>
      <c r="B940" s="37">
        <v>19.098422467680475</v>
      </c>
    </row>
    <row r="941">
      <c r="A941" s="36"/>
      <c r="B941" s="37">
        <v>1.9784224676804738</v>
      </c>
    </row>
    <row r="942">
      <c r="A942" s="36"/>
      <c r="B942" s="37">
        <v>2.518422467680474</v>
      </c>
    </row>
    <row r="943">
      <c r="A943" s="36"/>
      <c r="B943" s="37">
        <v>27.068422467680474</v>
      </c>
    </row>
    <row r="944">
      <c r="A944" s="36"/>
      <c r="B944" s="37">
        <v>76.23842246768046</v>
      </c>
    </row>
    <row r="945">
      <c r="A945" s="36"/>
      <c r="B945" s="37">
        <v>18.228422467680474</v>
      </c>
    </row>
    <row r="946">
      <c r="A946" s="36"/>
      <c r="B946" s="37">
        <v>11.398422467680474</v>
      </c>
    </row>
    <row r="947">
      <c r="A947" s="36"/>
      <c r="B947" s="37">
        <v>60.99842246768048</v>
      </c>
    </row>
    <row r="948">
      <c r="A948" s="36"/>
      <c r="B948" s="37">
        <v>35.44842246768047</v>
      </c>
    </row>
    <row r="949">
      <c r="A949" s="36"/>
      <c r="B949" s="37">
        <v>18.758422467680475</v>
      </c>
    </row>
    <row r="950">
      <c r="A950" s="36"/>
      <c r="B950" s="37">
        <v>49.63842246768048</v>
      </c>
    </row>
    <row r="951">
      <c r="A951" s="36"/>
      <c r="B951" s="37">
        <v>31.158422467680474</v>
      </c>
    </row>
    <row r="952">
      <c r="A952" s="36"/>
      <c r="B952" s="37">
        <v>5.788422467680474</v>
      </c>
    </row>
    <row r="953">
      <c r="A953" s="36"/>
      <c r="B953" s="37">
        <v>28.158422467680474</v>
      </c>
    </row>
    <row r="954">
      <c r="A954" s="36"/>
      <c r="B954" s="37">
        <v>14.648422467680474</v>
      </c>
    </row>
    <row r="955">
      <c r="A955" s="36"/>
      <c r="B955" s="37">
        <v>50.008422467680475</v>
      </c>
    </row>
    <row r="956">
      <c r="A956" s="36"/>
      <c r="B956" s="37">
        <v>21.378422467680476</v>
      </c>
    </row>
    <row r="957">
      <c r="A957" s="36"/>
      <c r="B957" s="37">
        <v>28.578422467680475</v>
      </c>
    </row>
    <row r="958">
      <c r="A958" s="36"/>
      <c r="B958" s="37">
        <v>21.688422467680475</v>
      </c>
    </row>
    <row r="959">
      <c r="A959" s="36"/>
      <c r="B959" s="37">
        <v>13.268422467680473</v>
      </c>
    </row>
    <row r="960">
      <c r="A960" s="36"/>
      <c r="B960" s="37">
        <v>14.038422467680473</v>
      </c>
    </row>
    <row r="961">
      <c r="A961" s="36"/>
      <c r="B961" s="37">
        <v>15.148422467680474</v>
      </c>
    </row>
    <row r="962">
      <c r="A962" s="36"/>
      <c r="B962" s="37">
        <v>19.708422467680474</v>
      </c>
    </row>
    <row r="963">
      <c r="A963" s="36"/>
      <c r="B963" s="37">
        <v>9.718422467680472</v>
      </c>
    </row>
    <row r="964">
      <c r="A964" s="36"/>
      <c r="B964" s="37">
        <v>9.418422467680474</v>
      </c>
    </row>
    <row r="965">
      <c r="A965" s="36"/>
      <c r="B965" s="37">
        <v>3.188422467680474</v>
      </c>
    </row>
    <row r="966">
      <c r="A966" s="36"/>
      <c r="B966" s="37">
        <v>0.3484224676804737</v>
      </c>
    </row>
    <row r="967">
      <c r="A967" s="36"/>
      <c r="B967" s="37">
        <v>26.878422467680476</v>
      </c>
    </row>
    <row r="968">
      <c r="A968" s="36"/>
      <c r="B968" s="37">
        <v>22.228422467680474</v>
      </c>
    </row>
    <row r="969">
      <c r="A969" s="36"/>
      <c r="B969" s="37">
        <v>62.718422467680476</v>
      </c>
    </row>
    <row r="970">
      <c r="A970" s="36"/>
      <c r="B970" s="37">
        <v>13.908422467680474</v>
      </c>
    </row>
    <row r="971">
      <c r="A971" s="36"/>
      <c r="B971" s="37">
        <v>36.76842246768047</v>
      </c>
    </row>
    <row r="972">
      <c r="A972" s="36"/>
      <c r="B972" s="37">
        <v>32.468422467680476</v>
      </c>
    </row>
    <row r="973">
      <c r="A973" s="36"/>
      <c r="B973" s="37">
        <v>2.7884224676804736</v>
      </c>
    </row>
    <row r="974">
      <c r="A974" s="36"/>
      <c r="B974" s="37">
        <v>2.898422467680474</v>
      </c>
    </row>
    <row r="975">
      <c r="A975" s="36"/>
      <c r="B975" s="37">
        <v>32.798422467680474</v>
      </c>
    </row>
    <row r="976">
      <c r="A976" s="36"/>
      <c r="B976" s="37">
        <v>18.688422467680475</v>
      </c>
    </row>
    <row r="977">
      <c r="A977" s="36"/>
      <c r="B977" s="37">
        <v>12.528422467680473</v>
      </c>
    </row>
    <row r="978">
      <c r="A978" s="36"/>
      <c r="B978" s="37">
        <v>35.078422467680475</v>
      </c>
    </row>
    <row r="979">
      <c r="A979" s="36"/>
      <c r="B979" s="37">
        <v>7.208422467680474</v>
      </c>
    </row>
    <row r="980">
      <c r="A980" s="36"/>
      <c r="B980" s="37">
        <v>19.638422467680474</v>
      </c>
    </row>
    <row r="981">
      <c r="A981" s="36"/>
      <c r="B981" s="37">
        <v>9.538422467680473</v>
      </c>
    </row>
    <row r="982">
      <c r="A982" s="36"/>
      <c r="B982" s="37">
        <v>31.308422467680472</v>
      </c>
    </row>
    <row r="983">
      <c r="A983" s="36"/>
      <c r="B983" s="37">
        <v>16.008422467680475</v>
      </c>
    </row>
    <row r="984">
      <c r="A984" s="36"/>
      <c r="B984" s="37">
        <v>69.02842246768047</v>
      </c>
    </row>
    <row r="985">
      <c r="A985" s="36"/>
      <c r="B985" s="37">
        <v>7.438422467680474</v>
      </c>
    </row>
    <row r="986">
      <c r="A986" s="36"/>
      <c r="B986" s="37">
        <v>20.358422467680477</v>
      </c>
    </row>
    <row r="987">
      <c r="A987" s="36"/>
      <c r="B987" s="37">
        <v>31.02842246768048</v>
      </c>
    </row>
    <row r="988">
      <c r="A988" s="36"/>
      <c r="B988" s="37">
        <v>20.478422467680474</v>
      </c>
    </row>
    <row r="989">
      <c r="A989" s="36"/>
      <c r="B989" s="37">
        <v>9.768422467680473</v>
      </c>
    </row>
    <row r="990">
      <c r="A990" s="36"/>
      <c r="B990" s="37">
        <v>27.168422467680475</v>
      </c>
    </row>
    <row r="991">
      <c r="A991" s="36"/>
      <c r="B991" s="37">
        <v>55.42842246768048</v>
      </c>
    </row>
    <row r="992">
      <c r="A992" s="36"/>
      <c r="B992" s="37">
        <v>25.818422467680474</v>
      </c>
    </row>
    <row r="993">
      <c r="A993" s="36"/>
      <c r="B993" s="37">
        <v>34.91842246768047</v>
      </c>
    </row>
    <row r="994">
      <c r="A994" s="36"/>
      <c r="B994" s="37">
        <v>33.66842246768047</v>
      </c>
    </row>
    <row r="995">
      <c r="A995" s="36"/>
      <c r="B995" s="37">
        <v>18.618422467680475</v>
      </c>
    </row>
    <row r="996">
      <c r="A996" s="36"/>
      <c r="B996" s="37">
        <v>11.938422467680473</v>
      </c>
    </row>
    <row r="997">
      <c r="A997" s="36"/>
      <c r="B997" s="37">
        <v>12.528422467680473</v>
      </c>
    </row>
    <row r="998">
      <c r="A998" s="36"/>
      <c r="B998" s="37">
        <v>10.248422467680474</v>
      </c>
    </row>
    <row r="999">
      <c r="A999" s="36"/>
      <c r="B999" s="37">
        <v>16.018422467680473</v>
      </c>
    </row>
    <row r="1000">
      <c r="A1000" s="36"/>
      <c r="B1000" s="37">
        <v>19.988422467680476</v>
      </c>
    </row>
    <row r="1001">
      <c r="A1001" s="36"/>
      <c r="B1001" s="37">
        <v>65.28842246768046</v>
      </c>
    </row>
    <row r="1002">
      <c r="A1002" s="36"/>
      <c r="B1002" s="37">
        <v>32.55842246768047</v>
      </c>
    </row>
    <row r="1003">
      <c r="A1003" s="36"/>
      <c r="B1003" s="37">
        <v>74.34842246768046</v>
      </c>
    </row>
    <row r="1004">
      <c r="A1004" s="36"/>
      <c r="B1004" s="37">
        <v>58.23842246768047</v>
      </c>
    </row>
    <row r="1005">
      <c r="A1005" s="36"/>
      <c r="B1005" s="37">
        <v>9.608422467680473</v>
      </c>
    </row>
    <row r="1006">
      <c r="A1006" s="36"/>
      <c r="B1006" s="37">
        <v>22.918422467680475</v>
      </c>
    </row>
    <row r="1007">
      <c r="A1007" s="36"/>
      <c r="B1007" s="37">
        <v>41.728422467680474</v>
      </c>
    </row>
    <row r="1008">
      <c r="A1008" s="36"/>
      <c r="B1008" s="37">
        <v>18.578422467680475</v>
      </c>
    </row>
    <row r="1009">
      <c r="A1009" s="36"/>
      <c r="B1009" s="37">
        <v>12.468422467680472</v>
      </c>
    </row>
    <row r="1010">
      <c r="A1010" s="36"/>
      <c r="B1010" s="37">
        <v>9.588422467680473</v>
      </c>
    </row>
    <row r="1011">
      <c r="A1011" s="36"/>
      <c r="B1011" s="37">
        <v>20.678422467680473</v>
      </c>
    </row>
    <row r="1012">
      <c r="A1012" s="36"/>
      <c r="B1012" s="37">
        <v>28.398422467680476</v>
      </c>
    </row>
    <row r="1013">
      <c r="A1013" s="36"/>
      <c r="B1013" s="37">
        <v>68.97842246768047</v>
      </c>
    </row>
    <row r="1014">
      <c r="A1014" s="36"/>
      <c r="B1014" s="37">
        <v>30.038422467680476</v>
      </c>
    </row>
    <row r="1015">
      <c r="A1015" s="36"/>
      <c r="B1015" s="37">
        <v>0.23842246768047382</v>
      </c>
    </row>
    <row r="1016">
      <c r="A1016" s="36"/>
      <c r="B1016" s="37">
        <v>12.908422467680474</v>
      </c>
    </row>
    <row r="1017">
      <c r="A1017" s="36"/>
      <c r="B1017" s="37">
        <v>59.468422467680476</v>
      </c>
    </row>
    <row r="1018">
      <c r="A1018" s="36"/>
      <c r="B1018" s="37">
        <v>3.238422467680474</v>
      </c>
    </row>
    <row r="1019">
      <c r="A1019" s="36"/>
      <c r="B1019" s="37">
        <v>12.698422467680473</v>
      </c>
    </row>
    <row r="1020">
      <c r="A1020" s="36"/>
      <c r="B1020" s="37">
        <v>64.47842246768047</v>
      </c>
    </row>
    <row r="1021">
      <c r="A1021" s="36"/>
      <c r="B1021" s="37">
        <v>12.778422467680473</v>
      </c>
    </row>
    <row r="1022">
      <c r="A1022" s="36"/>
      <c r="B1022" s="37">
        <v>28.248422467680474</v>
      </c>
    </row>
    <row r="1023">
      <c r="A1023" s="36"/>
      <c r="B1023" s="37">
        <v>15.858422467680475</v>
      </c>
    </row>
    <row r="1024">
      <c r="A1024" s="36"/>
      <c r="B1024" s="37">
        <v>17.568422467680474</v>
      </c>
    </row>
    <row r="1025">
      <c r="A1025" s="36"/>
      <c r="B1025" s="37">
        <v>33.048422467680474</v>
      </c>
    </row>
    <row r="1026">
      <c r="A1026" s="36"/>
      <c r="B1026" s="37">
        <v>2.478422467680474</v>
      </c>
    </row>
    <row r="1027">
      <c r="A1027" s="36"/>
      <c r="B1027" s="37">
        <v>3.4984224676804736</v>
      </c>
    </row>
    <row r="1028">
      <c r="A1028" s="36"/>
      <c r="B1028" s="37">
        <v>37.88842246768048</v>
      </c>
    </row>
    <row r="1029">
      <c r="A1029" s="36"/>
      <c r="B1029" s="37">
        <v>39.218422467680476</v>
      </c>
    </row>
    <row r="1030">
      <c r="A1030" s="36"/>
      <c r="B1030" s="37">
        <v>53.578422467680475</v>
      </c>
    </row>
    <row r="1031">
      <c r="A1031" s="36"/>
      <c r="B1031" s="37">
        <v>38.84842246768047</v>
      </c>
    </row>
    <row r="1032">
      <c r="A1032" s="36"/>
      <c r="B1032" s="37">
        <v>30.018422467680473</v>
      </c>
    </row>
    <row r="1033">
      <c r="A1033" s="36"/>
      <c r="B1033" s="37">
        <v>39.868422467680475</v>
      </c>
    </row>
    <row r="1034">
      <c r="A1034" s="36"/>
      <c r="B1034" s="37">
        <v>9.198422467680473</v>
      </c>
    </row>
    <row r="1035">
      <c r="A1035" s="36"/>
      <c r="B1035" s="37">
        <v>23.758422467680475</v>
      </c>
    </row>
    <row r="1036">
      <c r="A1036" s="36"/>
      <c r="B1036" s="37">
        <v>40.508422467680475</v>
      </c>
    </row>
    <row r="1037">
      <c r="A1037" s="36"/>
      <c r="B1037" s="37">
        <v>11.048422467680473</v>
      </c>
    </row>
    <row r="1038">
      <c r="A1038" s="36"/>
      <c r="B1038" s="37">
        <v>3.188422467680474</v>
      </c>
    </row>
    <row r="1039">
      <c r="A1039" s="36"/>
      <c r="B1039" s="37">
        <v>3.728422467680474</v>
      </c>
    </row>
    <row r="1040">
      <c r="A1040" s="36"/>
      <c r="B1040" s="37">
        <v>1.7484224676804738</v>
      </c>
    </row>
    <row r="1041">
      <c r="A1041" s="36"/>
      <c r="B1041" s="37">
        <v>15.368422467680473</v>
      </c>
    </row>
    <row r="1042">
      <c r="A1042" s="36"/>
      <c r="B1042" s="37">
        <v>11.338422467680473</v>
      </c>
    </row>
    <row r="1043">
      <c r="A1043" s="36"/>
      <c r="B1043" s="37">
        <v>9.868422467680473</v>
      </c>
    </row>
    <row r="1044">
      <c r="A1044" s="36"/>
      <c r="B1044" s="37">
        <v>33.538422467680476</v>
      </c>
    </row>
    <row r="1045">
      <c r="A1045" s="36"/>
      <c r="B1045" s="37">
        <v>39.33842246768047</v>
      </c>
    </row>
    <row r="1046">
      <c r="A1046" s="36"/>
      <c r="B1046" s="37">
        <v>32.44842246768047</v>
      </c>
    </row>
    <row r="1047">
      <c r="A1047" s="36"/>
      <c r="B1047" s="37">
        <v>68.55842246768047</v>
      </c>
    </row>
    <row r="1048">
      <c r="A1048" s="36"/>
      <c r="B1048" s="37">
        <v>9.128422467680473</v>
      </c>
    </row>
    <row r="1049">
      <c r="A1049" s="36"/>
      <c r="B1049" s="37">
        <v>19.908422467680474</v>
      </c>
    </row>
    <row r="1050">
      <c r="A1050" s="36"/>
      <c r="B1050" s="37">
        <v>9.148422467680474</v>
      </c>
    </row>
    <row r="1051">
      <c r="A1051" s="36"/>
      <c r="B1051" s="37">
        <v>12.178422467680473</v>
      </c>
    </row>
    <row r="1052">
      <c r="A1052" s="36"/>
      <c r="B1052" s="37">
        <v>21.378422467680476</v>
      </c>
    </row>
    <row r="1053">
      <c r="A1053" s="36"/>
      <c r="B1053" s="37">
        <v>11.458422467680473</v>
      </c>
    </row>
    <row r="1054">
      <c r="A1054" s="36"/>
      <c r="B1054" s="37">
        <v>30.998422467680477</v>
      </c>
    </row>
    <row r="1055">
      <c r="A1055" s="36"/>
      <c r="B1055" s="37">
        <v>10.438422467680473</v>
      </c>
    </row>
    <row r="1056">
      <c r="A1056" s="36"/>
      <c r="B1056" s="37">
        <v>3.1184224676804737</v>
      </c>
    </row>
    <row r="1057">
      <c r="A1057" s="36"/>
      <c r="B1057" s="37">
        <v>40.69842246768047</v>
      </c>
    </row>
    <row r="1058">
      <c r="A1058" s="36"/>
      <c r="B1058" s="37">
        <v>0.6084224676804737</v>
      </c>
    </row>
    <row r="1059">
      <c r="A1059" s="36"/>
      <c r="B1059" s="37">
        <v>2.8384224676804735</v>
      </c>
    </row>
    <row r="1060">
      <c r="A1060" s="36"/>
      <c r="B1060" s="37">
        <v>11.198422467680473</v>
      </c>
    </row>
    <row r="1061">
      <c r="A1061" s="36"/>
      <c r="B1061" s="37">
        <v>11.198422467680473</v>
      </c>
    </row>
    <row r="1062">
      <c r="A1062" s="36"/>
      <c r="B1062" s="37">
        <v>1.3184224676804737</v>
      </c>
    </row>
    <row r="1063">
      <c r="A1063" s="36"/>
      <c r="B1063" s="37">
        <v>2.768422467680474</v>
      </c>
    </row>
    <row r="1064">
      <c r="A1064" s="36"/>
      <c r="B1064" s="37">
        <v>34.978422467680474</v>
      </c>
    </row>
    <row r="1065">
      <c r="A1065" s="36"/>
      <c r="B1065" s="37">
        <v>13.018422467680473</v>
      </c>
    </row>
    <row r="1066">
      <c r="A1066" s="36"/>
      <c r="B1066" s="37">
        <v>35.06842246768048</v>
      </c>
    </row>
    <row r="1067">
      <c r="A1067" s="36"/>
      <c r="B1067" s="37">
        <v>21.598422467680475</v>
      </c>
    </row>
    <row r="1068">
      <c r="A1068" s="36"/>
      <c r="B1068" s="37">
        <v>11.028422467680473</v>
      </c>
    </row>
    <row r="1069">
      <c r="A1069" s="36"/>
      <c r="B1069" s="37">
        <v>14.828422467680474</v>
      </c>
    </row>
    <row r="1070">
      <c r="A1070" s="36"/>
      <c r="B1070" s="37">
        <v>1.868422467680474</v>
      </c>
    </row>
    <row r="1071">
      <c r="A1071" s="36"/>
      <c r="B1071" s="37">
        <v>9.928422467680473</v>
      </c>
    </row>
    <row r="1072">
      <c r="A1072" s="36"/>
      <c r="B1072" s="37">
        <v>1.428422467680474</v>
      </c>
    </row>
    <row r="1073">
      <c r="A1073" s="36"/>
      <c r="B1073" s="37">
        <v>11.168422467680474</v>
      </c>
    </row>
    <row r="1074">
      <c r="A1074" s="36"/>
      <c r="B1074" s="37">
        <v>37.51842246768047</v>
      </c>
    </row>
    <row r="1075">
      <c r="A1075" s="36"/>
      <c r="B1075" s="37">
        <v>62.48842246768047</v>
      </c>
    </row>
    <row r="1076">
      <c r="A1076" s="36"/>
      <c r="B1076" s="37">
        <v>12.628422467680473</v>
      </c>
    </row>
    <row r="1077">
      <c r="A1077" s="36"/>
      <c r="B1077" s="37">
        <v>2.1584224676804737</v>
      </c>
    </row>
    <row r="1078">
      <c r="A1078" s="36"/>
      <c r="B1078" s="37">
        <v>67.49842246768047</v>
      </c>
    </row>
    <row r="1079">
      <c r="A1079" s="36"/>
      <c r="B1079" s="37">
        <v>1.7484224676804738</v>
      </c>
    </row>
    <row r="1080">
      <c r="A1080" s="36"/>
      <c r="B1080" s="37">
        <v>59.67842246768048</v>
      </c>
    </row>
    <row r="1081">
      <c r="A1081" s="36"/>
      <c r="B1081" s="37">
        <v>51.188422467680475</v>
      </c>
    </row>
    <row r="1082">
      <c r="A1082" s="36"/>
      <c r="B1082" s="37">
        <v>15.528422467680473</v>
      </c>
    </row>
    <row r="1083">
      <c r="A1083" s="36"/>
      <c r="B1083" s="37">
        <v>7.458422467680474</v>
      </c>
    </row>
    <row r="1084">
      <c r="A1084" s="36"/>
      <c r="B1084" s="37">
        <v>57.70842246768048</v>
      </c>
    </row>
    <row r="1085">
      <c r="A1085" s="36"/>
      <c r="B1085" s="37">
        <v>42.468422467680476</v>
      </c>
    </row>
    <row r="1086">
      <c r="A1086" s="36"/>
      <c r="B1086" s="37">
        <v>77.27842246768047</v>
      </c>
    </row>
    <row r="1087">
      <c r="A1087" s="36"/>
      <c r="B1087" s="37">
        <v>7.458422467680474</v>
      </c>
    </row>
    <row r="1088">
      <c r="A1088" s="36"/>
      <c r="B1088" s="37">
        <v>19.388422467680474</v>
      </c>
    </row>
    <row r="1089">
      <c r="A1089" s="36"/>
      <c r="B1089" s="37">
        <v>55.658422467680474</v>
      </c>
    </row>
    <row r="1090">
      <c r="A1090" s="36"/>
      <c r="B1090" s="37">
        <v>47.30842246768047</v>
      </c>
    </row>
    <row r="1091">
      <c r="A1091" s="36"/>
      <c r="B1091" s="37">
        <v>9.438422467680473</v>
      </c>
    </row>
    <row r="1092">
      <c r="A1092" s="36"/>
      <c r="B1092" s="37">
        <v>9.658422467680474</v>
      </c>
    </row>
    <row r="1093">
      <c r="A1093" s="36"/>
      <c r="B1093" s="37">
        <v>10.128422467680473</v>
      </c>
    </row>
    <row r="1094">
      <c r="A1094" s="36"/>
      <c r="B1094" s="37">
        <v>28.958422467680474</v>
      </c>
    </row>
    <row r="1095">
      <c r="A1095" s="36"/>
      <c r="B1095" s="37">
        <v>21.088422467680473</v>
      </c>
    </row>
    <row r="1096">
      <c r="A1096" s="36"/>
      <c r="B1096" s="37">
        <v>20.398422467680476</v>
      </c>
    </row>
    <row r="1097">
      <c r="A1097" s="36"/>
      <c r="B1097" s="37">
        <v>13.898422467680474</v>
      </c>
    </row>
    <row r="1098">
      <c r="A1098" s="36"/>
      <c r="B1098" s="37">
        <v>9.968422467680472</v>
      </c>
    </row>
    <row r="1099">
      <c r="A1099" s="36"/>
      <c r="B1099" s="37">
        <v>35.19842246768047</v>
      </c>
    </row>
    <row r="1100">
      <c r="A1100" s="36"/>
      <c r="B1100" s="37">
        <v>61.48842246768047</v>
      </c>
    </row>
    <row r="1101">
      <c r="A1101" s="36"/>
      <c r="B1101" s="37">
        <v>31.618422467680475</v>
      </c>
    </row>
    <row r="1102">
      <c r="A1102" s="36"/>
      <c r="B1102" s="37">
        <v>35.478422467680474</v>
      </c>
    </row>
    <row r="1103">
      <c r="A1103" s="36"/>
      <c r="B1103" s="37">
        <v>9.528422467680473</v>
      </c>
    </row>
    <row r="1104">
      <c r="A1104" s="36"/>
      <c r="B1104" s="37">
        <v>48.66842246768047</v>
      </c>
    </row>
    <row r="1105">
      <c r="A1105" s="36"/>
      <c r="B1105" s="37">
        <v>1.888422467680474</v>
      </c>
    </row>
    <row r="1106">
      <c r="A1106" s="36"/>
      <c r="B1106" s="37">
        <v>9.748422467680474</v>
      </c>
    </row>
    <row r="1107">
      <c r="A1107" s="36"/>
      <c r="B1107" s="37">
        <v>23.918422467680475</v>
      </c>
    </row>
    <row r="1108">
      <c r="A1108" s="36"/>
      <c r="B1108" s="37">
        <v>37.95842246768048</v>
      </c>
    </row>
    <row r="1109">
      <c r="A1109" s="36"/>
      <c r="B1109" s="37">
        <v>60.148422467680476</v>
      </c>
    </row>
    <row r="1110">
      <c r="A1110" s="36"/>
      <c r="B1110" s="37">
        <v>26.108422467680477</v>
      </c>
    </row>
    <row r="1111">
      <c r="A1111" s="36"/>
      <c r="B1111" s="37">
        <v>52.078422467680475</v>
      </c>
    </row>
    <row r="1112">
      <c r="A1112" s="36"/>
      <c r="B1112" s="37">
        <v>11.308422467680472</v>
      </c>
    </row>
    <row r="1113">
      <c r="A1113" s="36"/>
      <c r="B1113" s="37">
        <v>16.548422467680474</v>
      </c>
    </row>
    <row r="1114">
      <c r="A1114" s="36"/>
      <c r="B1114" s="37">
        <v>40.02842246768048</v>
      </c>
    </row>
    <row r="1115">
      <c r="A1115" s="36"/>
      <c r="B1115" s="37">
        <v>12.278422467680473</v>
      </c>
    </row>
    <row r="1116">
      <c r="A1116" s="36"/>
      <c r="B1116" s="37">
        <v>13.048422467680473</v>
      </c>
    </row>
    <row r="1117">
      <c r="A1117" s="36"/>
      <c r="B1117" s="37">
        <v>34.56842246768048</v>
      </c>
    </row>
    <row r="1118">
      <c r="A1118" s="36"/>
      <c r="B1118" s="37">
        <v>13.068422467680474</v>
      </c>
    </row>
    <row r="1119">
      <c r="A1119" s="36"/>
      <c r="B1119" s="37">
        <v>3.558422467680474</v>
      </c>
    </row>
    <row r="1120">
      <c r="A1120" s="36"/>
      <c r="B1120" s="37">
        <v>0.8684224676804737</v>
      </c>
    </row>
    <row r="1121">
      <c r="A1121" s="36"/>
      <c r="B1121" s="37">
        <v>30.578422467680475</v>
      </c>
    </row>
    <row r="1122">
      <c r="A1122" s="36"/>
      <c r="B1122" s="37">
        <v>32.87842246768047</v>
      </c>
    </row>
    <row r="1123">
      <c r="A1123" s="36"/>
      <c r="B1123" s="37">
        <v>38.508422467680475</v>
      </c>
    </row>
    <row r="1124">
      <c r="A1124" s="36"/>
      <c r="B1124" s="37">
        <v>1.5184224676804738</v>
      </c>
    </row>
    <row r="1125">
      <c r="A1125" s="36"/>
      <c r="B1125" s="37">
        <v>31.728422467680474</v>
      </c>
    </row>
    <row r="1126">
      <c r="A1126" s="36"/>
      <c r="B1126" s="37">
        <v>31.41842246768047</v>
      </c>
    </row>
    <row r="1127">
      <c r="A1127" s="36"/>
      <c r="B1127" s="37">
        <v>12.298422467680473</v>
      </c>
    </row>
    <row r="1128">
      <c r="A1128" s="36"/>
      <c r="B1128" s="37">
        <v>6.098422467680474</v>
      </c>
    </row>
    <row r="1129">
      <c r="A1129" s="36"/>
      <c r="B1129" s="37">
        <v>13.088422467680473</v>
      </c>
    </row>
    <row r="1130">
      <c r="A1130" s="36"/>
      <c r="B1130" s="37">
        <v>13.938422467680473</v>
      </c>
    </row>
    <row r="1131">
      <c r="A1131" s="36"/>
      <c r="B1131" s="37">
        <v>12.198422467680473</v>
      </c>
    </row>
    <row r="1132">
      <c r="A1132" s="36"/>
      <c r="B1132" s="37">
        <v>11.578422467680474</v>
      </c>
    </row>
    <row r="1133">
      <c r="A1133" s="36"/>
      <c r="B1133" s="37">
        <v>16.818422467680474</v>
      </c>
    </row>
    <row r="1134">
      <c r="A1134" s="36"/>
      <c r="B1134" s="37">
        <v>65.57842246768047</v>
      </c>
    </row>
    <row r="1135">
      <c r="A1135" s="36"/>
      <c r="B1135" s="37">
        <v>39.17842246768048</v>
      </c>
    </row>
    <row r="1136">
      <c r="A1136" s="36"/>
      <c r="B1136" s="37">
        <v>9.458422467680473</v>
      </c>
    </row>
    <row r="1137">
      <c r="A1137" s="36"/>
      <c r="B1137" s="37">
        <v>33.118422467680475</v>
      </c>
    </row>
    <row r="1138">
      <c r="A1138" s="36"/>
      <c r="B1138" s="37">
        <v>10.098422467680473</v>
      </c>
    </row>
    <row r="1139">
      <c r="A1139" s="36"/>
      <c r="B1139" s="37">
        <v>33.938422467680475</v>
      </c>
    </row>
    <row r="1140">
      <c r="A1140" s="36"/>
      <c r="B1140" s="37">
        <v>11.168422467680474</v>
      </c>
    </row>
    <row r="1141">
      <c r="A1141" s="36"/>
      <c r="B1141" s="37">
        <v>11.568422467680474</v>
      </c>
    </row>
    <row r="1142">
      <c r="A1142" s="36"/>
      <c r="B1142" s="37">
        <v>1.7784224676804736</v>
      </c>
    </row>
    <row r="1143">
      <c r="A1143" s="36"/>
      <c r="B1143" s="37">
        <v>17.358422467680477</v>
      </c>
    </row>
    <row r="1144">
      <c r="A1144" s="36"/>
      <c r="B1144" s="37">
        <v>11.658422467680474</v>
      </c>
    </row>
    <row r="1145">
      <c r="A1145" s="36"/>
      <c r="B1145" s="37">
        <v>2.148422467680474</v>
      </c>
    </row>
    <row r="1146">
      <c r="A1146" s="36"/>
      <c r="B1146" s="37">
        <v>27.788422467680476</v>
      </c>
    </row>
    <row r="1147">
      <c r="A1147" s="36"/>
      <c r="B1147" s="37">
        <v>49.788422467680476</v>
      </c>
    </row>
    <row r="1148">
      <c r="A1148" s="36"/>
      <c r="B1148" s="37">
        <v>37.69842246768047</v>
      </c>
    </row>
    <row r="1149">
      <c r="A1149" s="36"/>
      <c r="B1149" s="37">
        <v>39.978422467680474</v>
      </c>
    </row>
    <row r="1150">
      <c r="A1150" s="36"/>
      <c r="B1150" s="37">
        <v>9.668422467680474</v>
      </c>
    </row>
    <row r="1151">
      <c r="A1151" s="36"/>
      <c r="B1151" s="37">
        <v>16.428422467680473</v>
      </c>
    </row>
    <row r="1152">
      <c r="A1152" s="36"/>
      <c r="B1152" s="37">
        <v>10.898422467680474</v>
      </c>
    </row>
    <row r="1153">
      <c r="A1153" s="36"/>
      <c r="B1153" s="37">
        <v>14.078422467680474</v>
      </c>
    </row>
    <row r="1154">
      <c r="A1154" s="36"/>
      <c r="B1154" s="37">
        <v>2.188422467680474</v>
      </c>
    </row>
    <row r="1155">
      <c r="A1155" s="36"/>
      <c r="B1155" s="37">
        <v>1.5584224676804739</v>
      </c>
    </row>
    <row r="1156">
      <c r="A1156" s="36"/>
      <c r="B1156" s="37">
        <v>14.698422467680473</v>
      </c>
    </row>
    <row r="1157">
      <c r="A1157" s="36"/>
      <c r="B1157" s="37">
        <v>12.348422467680473</v>
      </c>
    </row>
    <row r="1158">
      <c r="A1158" s="36"/>
      <c r="B1158" s="37">
        <v>9.628422467680473</v>
      </c>
    </row>
    <row r="1159">
      <c r="A1159" s="36"/>
      <c r="B1159" s="37">
        <v>2.1184224676804737</v>
      </c>
    </row>
    <row r="1160">
      <c r="A1160" s="36"/>
      <c r="B1160" s="37">
        <v>42.56842246768048</v>
      </c>
    </row>
    <row r="1161">
      <c r="A1161" s="36"/>
      <c r="B1161" s="37">
        <v>1.9984224676804738</v>
      </c>
    </row>
    <row r="1162">
      <c r="A1162" s="36"/>
      <c r="B1162" s="37">
        <v>13.098422467680473</v>
      </c>
    </row>
    <row r="1163">
      <c r="A1163" s="36"/>
      <c r="B1163" s="37">
        <v>0.4784224676804738</v>
      </c>
    </row>
    <row r="1164">
      <c r="A1164" s="36"/>
      <c r="B1164" s="37">
        <v>11.808422467680472</v>
      </c>
    </row>
    <row r="1165">
      <c r="A1165" s="36"/>
      <c r="B1165" s="37">
        <v>3.688422467680474</v>
      </c>
    </row>
    <row r="1166">
      <c r="A1166" s="36"/>
      <c r="B1166" s="37">
        <v>54.83842246768047</v>
      </c>
    </row>
    <row r="1167">
      <c r="A1167" s="36"/>
      <c r="B1167" s="37">
        <v>36.08842246768047</v>
      </c>
    </row>
    <row r="1168">
      <c r="A1168" s="36"/>
      <c r="B1168" s="37">
        <v>38.228422467680474</v>
      </c>
    </row>
    <row r="1169">
      <c r="A1169" s="36"/>
      <c r="B1169" s="37">
        <v>19.068422467680474</v>
      </c>
    </row>
    <row r="1170">
      <c r="A1170" s="36"/>
      <c r="B1170" s="37">
        <v>22.128422467680476</v>
      </c>
    </row>
    <row r="1171">
      <c r="A1171" s="36"/>
      <c r="B1171" s="37">
        <v>14.588422467680473</v>
      </c>
    </row>
    <row r="1172">
      <c r="A1172" s="36"/>
      <c r="B1172" s="37">
        <v>10.528422467680473</v>
      </c>
    </row>
    <row r="1173">
      <c r="A1173" s="36"/>
      <c r="B1173" s="37">
        <v>19.978422467680474</v>
      </c>
    </row>
    <row r="1174">
      <c r="A1174" s="36"/>
      <c r="B1174" s="37">
        <v>9.678422467680473</v>
      </c>
    </row>
    <row r="1175">
      <c r="A1175" s="36"/>
      <c r="B1175" s="37">
        <v>63.87842246768047</v>
      </c>
    </row>
    <row r="1176">
      <c r="A1176" s="36"/>
      <c r="B1176" s="37">
        <v>10.788422467680473</v>
      </c>
    </row>
    <row r="1177">
      <c r="A1177" s="36"/>
      <c r="B1177" s="37">
        <v>20.308422467680476</v>
      </c>
    </row>
    <row r="1178">
      <c r="A1178" s="36"/>
      <c r="B1178" s="37">
        <v>29.698422467680476</v>
      </c>
    </row>
    <row r="1179">
      <c r="A1179" s="36"/>
      <c r="B1179" s="37">
        <v>4.278422467680474</v>
      </c>
    </row>
    <row r="1180">
      <c r="A1180" s="36"/>
      <c r="B1180" s="37">
        <v>9.098422467680473</v>
      </c>
    </row>
    <row r="1181">
      <c r="A1181" s="36"/>
      <c r="B1181" s="37">
        <v>28.768422467680473</v>
      </c>
    </row>
    <row r="1182">
      <c r="A1182" s="36"/>
      <c r="B1182" s="37">
        <v>35.398422467680476</v>
      </c>
    </row>
    <row r="1183">
      <c r="A1183" s="36"/>
      <c r="B1183" s="37">
        <v>11.148422467680474</v>
      </c>
    </row>
    <row r="1184">
      <c r="A1184" s="36"/>
      <c r="B1184" s="37">
        <v>13.738422467680474</v>
      </c>
    </row>
    <row r="1185">
      <c r="A1185" s="36"/>
      <c r="B1185" s="37">
        <v>13.498422467680474</v>
      </c>
    </row>
    <row r="1186">
      <c r="A1186" s="36"/>
      <c r="B1186" s="37">
        <v>15.298422467680473</v>
      </c>
    </row>
    <row r="1187">
      <c r="A1187" s="36"/>
      <c r="B1187" s="37">
        <v>17.828422467680475</v>
      </c>
    </row>
    <row r="1188">
      <c r="A1188" s="36"/>
      <c r="B1188" s="37">
        <v>39.788422467680476</v>
      </c>
    </row>
    <row r="1189">
      <c r="A1189" s="36"/>
      <c r="B1189" s="37">
        <v>25.518422467680473</v>
      </c>
    </row>
    <row r="1190">
      <c r="A1190" s="36"/>
      <c r="B1190" s="37">
        <v>16.358422467680477</v>
      </c>
    </row>
    <row r="1191">
      <c r="A1191" s="36"/>
      <c r="B1191" s="37">
        <v>2.598422467680474</v>
      </c>
    </row>
    <row r="1192">
      <c r="A1192" s="36"/>
      <c r="B1192" s="37">
        <v>28.688422467680475</v>
      </c>
    </row>
    <row r="1193">
      <c r="A1193" s="36"/>
      <c r="B1193" s="37">
        <v>3.938422467680474</v>
      </c>
    </row>
    <row r="1194">
      <c r="A1194" s="36"/>
      <c r="B1194" s="37">
        <v>44.09842246768047</v>
      </c>
    </row>
    <row r="1195">
      <c r="A1195" s="36"/>
      <c r="B1195" s="37">
        <v>28.808422467680476</v>
      </c>
    </row>
    <row r="1196">
      <c r="A1196" s="36"/>
      <c r="B1196" s="37">
        <v>3.318422467680474</v>
      </c>
    </row>
    <row r="1197">
      <c r="A1197" s="36"/>
      <c r="B1197" s="37">
        <v>26.368422467680475</v>
      </c>
    </row>
    <row r="1198">
      <c r="A1198" s="36"/>
      <c r="B1198" s="37">
        <v>9.078422467680474</v>
      </c>
    </row>
    <row r="1199">
      <c r="A1199" s="36"/>
      <c r="B1199" s="37">
        <v>67.23842246768046</v>
      </c>
    </row>
    <row r="1200">
      <c r="A1200" s="36"/>
      <c r="B1200" s="37">
        <v>14.448422467680473</v>
      </c>
    </row>
    <row r="1201">
      <c r="A1201" s="36"/>
      <c r="B1201" s="37">
        <v>9.768422467680473</v>
      </c>
    </row>
    <row r="1202">
      <c r="A1202" s="36"/>
      <c r="B1202" s="37">
        <v>10.188422467680473</v>
      </c>
    </row>
    <row r="1203">
      <c r="A1203" s="36"/>
      <c r="B1203" s="37">
        <v>10.558422467680472</v>
      </c>
    </row>
    <row r="1204">
      <c r="A1204" s="36"/>
      <c r="B1204" s="37">
        <v>45.228422467680474</v>
      </c>
    </row>
    <row r="1205">
      <c r="A1205" s="36"/>
      <c r="B1205" s="37">
        <v>30.968422467680476</v>
      </c>
    </row>
    <row r="1206">
      <c r="A1206" s="36"/>
      <c r="B1206" s="37">
        <v>20.798422467680474</v>
      </c>
    </row>
    <row r="1207">
      <c r="A1207" s="36"/>
      <c r="B1207" s="37">
        <v>13.988422467680474</v>
      </c>
    </row>
    <row r="1208">
      <c r="A1208" s="36"/>
      <c r="B1208" s="37">
        <v>30.078422467680475</v>
      </c>
    </row>
    <row r="1209">
      <c r="A1209" s="36"/>
      <c r="B1209" s="37">
        <v>12.958422467680473</v>
      </c>
    </row>
    <row r="1210">
      <c r="A1210" s="36"/>
      <c r="B1210" s="37">
        <v>41.118422467680475</v>
      </c>
    </row>
    <row r="1211">
      <c r="A1211" s="36"/>
      <c r="B1211" s="37">
        <v>57.438422467680475</v>
      </c>
    </row>
    <row r="1212">
      <c r="A1212" s="36"/>
      <c r="B1212" s="37">
        <v>2.1284224676804735</v>
      </c>
    </row>
    <row r="1213">
      <c r="A1213" s="36"/>
      <c r="B1213" s="37">
        <v>12.168422467680474</v>
      </c>
    </row>
    <row r="1214">
      <c r="A1214" s="36"/>
      <c r="B1214" s="37">
        <v>46.81842246768048</v>
      </c>
    </row>
    <row r="1215">
      <c r="A1215" s="36"/>
      <c r="B1215" s="37">
        <v>9.498422467680474</v>
      </c>
    </row>
    <row r="1216">
      <c r="A1216" s="36"/>
      <c r="B1216" s="37">
        <v>15.708422467680473</v>
      </c>
    </row>
    <row r="1217">
      <c r="A1217" s="36"/>
      <c r="B1217" s="37">
        <v>15.498422467680472</v>
      </c>
    </row>
    <row r="1218">
      <c r="A1218" s="36"/>
      <c r="B1218" s="37">
        <v>33.30842246768047</v>
      </c>
    </row>
    <row r="1219">
      <c r="A1219" s="36"/>
      <c r="B1219" s="37">
        <v>25.408422467680474</v>
      </c>
    </row>
    <row r="1220">
      <c r="A1220" s="36"/>
      <c r="B1220" s="37">
        <v>45.91842246768047</v>
      </c>
    </row>
    <row r="1221">
      <c r="A1221" s="36"/>
      <c r="B1221" s="37">
        <v>16.228422467680474</v>
      </c>
    </row>
    <row r="1222">
      <c r="A1222" s="36"/>
      <c r="B1222" s="37">
        <v>62.118422467680475</v>
      </c>
    </row>
    <row r="1223">
      <c r="A1223" s="36"/>
      <c r="B1223" s="37">
        <v>31.328422467680475</v>
      </c>
    </row>
    <row r="1224">
      <c r="A1224" s="36"/>
      <c r="B1224" s="37">
        <v>16.628422467680476</v>
      </c>
    </row>
    <row r="1225">
      <c r="A1225" s="36"/>
      <c r="B1225" s="37">
        <v>18.108422467680477</v>
      </c>
    </row>
    <row r="1226">
      <c r="A1226" s="36"/>
      <c r="B1226" s="37">
        <v>71.30842246768047</v>
      </c>
    </row>
    <row r="1227">
      <c r="A1227" s="36"/>
      <c r="B1227" s="37">
        <v>63.33842246768048</v>
      </c>
    </row>
    <row r="1228">
      <c r="A1228" s="36"/>
      <c r="B1228" s="37">
        <v>26.808422467680476</v>
      </c>
    </row>
    <row r="1229">
      <c r="A1229" s="36"/>
      <c r="B1229" s="37">
        <v>14.818422467680474</v>
      </c>
    </row>
    <row r="1230">
      <c r="A1230" s="36"/>
      <c r="B1230" s="37">
        <v>28.728422467680474</v>
      </c>
    </row>
    <row r="1231">
      <c r="A1231" s="36"/>
      <c r="B1231" s="37">
        <v>18.668422467680475</v>
      </c>
    </row>
    <row r="1232">
      <c r="A1232" s="36"/>
      <c r="B1232" s="37">
        <v>2.5484224676804734</v>
      </c>
    </row>
    <row r="1233">
      <c r="A1233" s="36"/>
      <c r="B1233" s="37">
        <v>11.008422467680473</v>
      </c>
    </row>
    <row r="1234">
      <c r="A1234" s="36"/>
      <c r="B1234" s="37">
        <v>11.228422467680472</v>
      </c>
    </row>
    <row r="1235">
      <c r="A1235" s="36"/>
      <c r="B1235" s="37">
        <v>58.438422467680475</v>
      </c>
    </row>
    <row r="1236">
      <c r="A1236" s="36"/>
      <c r="B1236" s="37">
        <v>1.1084224676804737</v>
      </c>
    </row>
    <row r="1237">
      <c r="A1237" s="36"/>
      <c r="B1237" s="37">
        <v>12.418422467680474</v>
      </c>
    </row>
    <row r="1238">
      <c r="A1238" s="36"/>
      <c r="B1238" s="37">
        <v>28.358422467680477</v>
      </c>
    </row>
    <row r="1239">
      <c r="A1239" s="36"/>
      <c r="B1239" s="37">
        <v>49.60842246768048</v>
      </c>
    </row>
    <row r="1240">
      <c r="A1240" s="36"/>
      <c r="B1240" s="37">
        <v>20.778422467680475</v>
      </c>
    </row>
    <row r="1241">
      <c r="A1241" s="36"/>
      <c r="B1241" s="37">
        <v>28.448422467680476</v>
      </c>
    </row>
    <row r="1242">
      <c r="A1242" s="36"/>
      <c r="B1242" s="37">
        <v>2.9184224676804735</v>
      </c>
    </row>
    <row r="1243">
      <c r="A1243" s="36"/>
      <c r="B1243" s="37">
        <v>58.758422467680475</v>
      </c>
    </row>
    <row r="1244">
      <c r="A1244" s="36"/>
      <c r="B1244" s="37">
        <v>2.9984224676804736</v>
      </c>
    </row>
    <row r="1245">
      <c r="A1245" s="36"/>
      <c r="B1245" s="37">
        <v>20.688422467680475</v>
      </c>
    </row>
    <row r="1246">
      <c r="A1246" s="36"/>
      <c r="B1246" s="37">
        <v>18.778422467680475</v>
      </c>
    </row>
    <row r="1247">
      <c r="A1247" s="36"/>
      <c r="B1247" s="37">
        <v>18.468422467680476</v>
      </c>
    </row>
    <row r="1248">
      <c r="A1248" s="36"/>
      <c r="B1248" s="37">
        <v>13.378422467680473</v>
      </c>
    </row>
    <row r="1249">
      <c r="A1249" s="36"/>
      <c r="B1249" s="37">
        <v>17.608422467680477</v>
      </c>
    </row>
    <row r="1250">
      <c r="A1250" s="36"/>
      <c r="B1250" s="37">
        <v>31.928422467680477</v>
      </c>
    </row>
    <row r="1251">
      <c r="A1251" s="36"/>
      <c r="B1251" s="37">
        <v>2.1584224676804737</v>
      </c>
    </row>
    <row r="1252">
      <c r="A1252" s="36"/>
      <c r="B1252" s="37">
        <v>38.798422467680474</v>
      </c>
    </row>
    <row r="1253">
      <c r="A1253" s="36"/>
      <c r="B1253" s="37">
        <v>47.17842246768048</v>
      </c>
    </row>
    <row r="1254">
      <c r="A1254" s="36"/>
      <c r="B1254" s="37">
        <v>13.728422467680472</v>
      </c>
    </row>
    <row r="1255">
      <c r="A1255" s="36"/>
      <c r="B1255" s="37">
        <v>24.458422467680474</v>
      </c>
    </row>
    <row r="1256">
      <c r="A1256" s="36"/>
      <c r="B1256" s="37">
        <v>26.308422467680476</v>
      </c>
    </row>
    <row r="1257">
      <c r="A1257" s="36"/>
      <c r="B1257" s="37">
        <v>12.778422467680473</v>
      </c>
    </row>
    <row r="1258">
      <c r="A1258" s="36"/>
      <c r="B1258" s="37">
        <v>25.708422467680474</v>
      </c>
    </row>
    <row r="1259">
      <c r="A1259" s="36"/>
      <c r="B1259" s="37">
        <v>10.048422467680473</v>
      </c>
    </row>
    <row r="1260">
      <c r="A1260" s="36"/>
      <c r="B1260" s="37">
        <v>11.838422467680473</v>
      </c>
    </row>
    <row r="1261">
      <c r="A1261" s="36"/>
      <c r="B1261" s="37">
        <v>27.248422467680474</v>
      </c>
    </row>
    <row r="1262">
      <c r="A1262" s="36"/>
      <c r="B1262" s="37">
        <v>26.758422467680475</v>
      </c>
    </row>
    <row r="1263">
      <c r="A1263" s="36"/>
      <c r="B1263" s="37">
        <v>33.48842246768047</v>
      </c>
    </row>
    <row r="1264">
      <c r="A1264" s="36"/>
      <c r="B1264" s="37">
        <v>31.578422467680475</v>
      </c>
    </row>
    <row r="1265">
      <c r="A1265" s="36"/>
      <c r="B1265" s="37">
        <v>31.218422467680476</v>
      </c>
    </row>
    <row r="1266">
      <c r="A1266" s="36"/>
      <c r="B1266" s="37">
        <v>40.258422467680475</v>
      </c>
    </row>
    <row r="1267">
      <c r="A1267" s="36"/>
      <c r="B1267" s="37">
        <v>73.61842246768047</v>
      </c>
    </row>
    <row r="1268">
      <c r="A1268" s="36"/>
      <c r="B1268" s="37">
        <v>9.398422467680474</v>
      </c>
    </row>
    <row r="1269">
      <c r="A1269" s="36"/>
      <c r="B1269" s="37">
        <v>12.598422467680473</v>
      </c>
    </row>
    <row r="1270">
      <c r="A1270" s="36"/>
      <c r="B1270" s="37">
        <v>61.188422467680475</v>
      </c>
    </row>
    <row r="1271">
      <c r="A1271" s="36"/>
      <c r="B1271" s="37">
        <v>1.5484224676804736</v>
      </c>
    </row>
    <row r="1272">
      <c r="A1272" s="36"/>
      <c r="B1272" s="37">
        <v>46.548422467680474</v>
      </c>
    </row>
    <row r="1273">
      <c r="A1273" s="36"/>
      <c r="B1273" s="37">
        <v>38.59842246768047</v>
      </c>
    </row>
    <row r="1274">
      <c r="A1274" s="36"/>
      <c r="B1274" s="37">
        <v>64.07842246768047</v>
      </c>
    </row>
    <row r="1275">
      <c r="A1275" s="36"/>
      <c r="B1275" s="37">
        <v>10.228422467680472</v>
      </c>
    </row>
    <row r="1276">
      <c r="A1276" s="36"/>
      <c r="B1276" s="37">
        <v>9.368422467680473</v>
      </c>
    </row>
    <row r="1277">
      <c r="A1277" s="36"/>
      <c r="B1277" s="37">
        <v>34.078422467680475</v>
      </c>
    </row>
    <row r="1278">
      <c r="A1278" s="36"/>
      <c r="B1278" s="37">
        <v>19.168422467680475</v>
      </c>
    </row>
    <row r="1279">
      <c r="A1279" s="36"/>
      <c r="B1279" s="37">
        <v>25.068422467680474</v>
      </c>
    </row>
    <row r="1280">
      <c r="A1280" s="36"/>
      <c r="B1280" s="37">
        <v>27.488422467680476</v>
      </c>
    </row>
    <row r="1281">
      <c r="A1281" s="36"/>
      <c r="B1281" s="37">
        <v>30.538422467680476</v>
      </c>
    </row>
    <row r="1282">
      <c r="A1282" s="36"/>
      <c r="B1282" s="37">
        <v>14.858422467680473</v>
      </c>
    </row>
    <row r="1283">
      <c r="A1283" s="36"/>
      <c r="B1283" s="37">
        <v>50.63842246768048</v>
      </c>
    </row>
    <row r="1284">
      <c r="A1284" s="36"/>
      <c r="B1284" s="37">
        <v>8.938422467680473</v>
      </c>
    </row>
    <row r="1285">
      <c r="A1285" s="36"/>
      <c r="B1285" s="37">
        <v>11.748422467680474</v>
      </c>
    </row>
    <row r="1286">
      <c r="A1286" s="36"/>
      <c r="B1286" s="37">
        <v>34.798422467680474</v>
      </c>
    </row>
    <row r="1287">
      <c r="A1287" s="36"/>
      <c r="B1287" s="37">
        <v>11.548422467680473</v>
      </c>
    </row>
    <row r="1288">
      <c r="A1288" s="36"/>
      <c r="B1288" s="37">
        <v>56.908422467680474</v>
      </c>
    </row>
    <row r="1289">
      <c r="A1289" s="36"/>
      <c r="B1289" s="37">
        <v>50.83842246768047</v>
      </c>
    </row>
    <row r="1290">
      <c r="A1290" s="36"/>
      <c r="B1290" s="37">
        <v>52.80842246768047</v>
      </c>
    </row>
    <row r="1291">
      <c r="A1291" s="36"/>
      <c r="B1291" s="37">
        <v>1.8984224676804737</v>
      </c>
    </row>
    <row r="1292">
      <c r="A1292" s="36"/>
      <c r="B1292" s="37">
        <v>12.958422467680473</v>
      </c>
    </row>
    <row r="1293">
      <c r="A1293" s="36"/>
      <c r="B1293" s="37">
        <v>10.198422467680473</v>
      </c>
    </row>
    <row r="1294">
      <c r="A1294" s="36"/>
      <c r="B1294" s="37">
        <v>30.218422467680476</v>
      </c>
    </row>
    <row r="1295">
      <c r="A1295" s="36"/>
      <c r="B1295" s="37">
        <v>1.1984224676804736</v>
      </c>
    </row>
    <row r="1296">
      <c r="A1296" s="36"/>
      <c r="B1296" s="37">
        <v>9.208422467680473</v>
      </c>
    </row>
    <row r="1297">
      <c r="A1297" s="36"/>
      <c r="B1297" s="37">
        <v>11.128422467680473</v>
      </c>
    </row>
    <row r="1298">
      <c r="A1298" s="36"/>
      <c r="B1298" s="37">
        <v>11.238422467680474</v>
      </c>
    </row>
    <row r="1299">
      <c r="A1299" s="36"/>
      <c r="B1299" s="37">
        <v>30.378422467680476</v>
      </c>
    </row>
    <row r="1300">
      <c r="A1300" s="36"/>
      <c r="B1300" s="37">
        <v>11.578422467680474</v>
      </c>
    </row>
    <row r="1301">
      <c r="A1301" s="36"/>
      <c r="B1301" s="37">
        <v>25.068422467680474</v>
      </c>
    </row>
    <row r="1302">
      <c r="A1302" s="36"/>
      <c r="B1302" s="37">
        <v>26.158422467680474</v>
      </c>
    </row>
    <row r="1303">
      <c r="A1303" s="36"/>
      <c r="B1303" s="37">
        <v>1.1084224676804737</v>
      </c>
    </row>
    <row r="1304">
      <c r="A1304" s="36"/>
      <c r="B1304" s="37">
        <v>19.628422467680476</v>
      </c>
    </row>
    <row r="1305">
      <c r="A1305" s="36"/>
      <c r="B1305" s="37">
        <v>67.82842246768047</v>
      </c>
    </row>
    <row r="1306">
      <c r="A1306" s="36"/>
      <c r="B1306" s="37">
        <v>23.258422467680475</v>
      </c>
    </row>
    <row r="1307">
      <c r="A1307" s="36"/>
      <c r="B1307" s="37">
        <v>28.878422467680476</v>
      </c>
    </row>
    <row r="1308">
      <c r="A1308" s="36"/>
      <c r="B1308" s="37">
        <v>33.218422467680476</v>
      </c>
    </row>
    <row r="1309">
      <c r="A1309" s="36"/>
      <c r="B1309" s="37">
        <v>22.738422467680476</v>
      </c>
    </row>
    <row r="1310">
      <c r="A1310" s="36"/>
      <c r="B1310" s="37">
        <v>50.94842246768047</v>
      </c>
    </row>
    <row r="1311">
      <c r="A1311" s="36"/>
      <c r="B1311" s="37">
        <v>21.348422467680475</v>
      </c>
    </row>
    <row r="1312">
      <c r="A1312" s="36"/>
      <c r="B1312" s="37">
        <v>18.628422467680476</v>
      </c>
    </row>
    <row r="1313">
      <c r="A1313" s="36"/>
      <c r="B1313" s="37">
        <v>13.868422467680473</v>
      </c>
    </row>
    <row r="1314">
      <c r="A1314" s="36"/>
      <c r="B1314" s="37">
        <v>3.2884224676804736</v>
      </c>
    </row>
    <row r="1315">
      <c r="A1315" s="36"/>
      <c r="B1315" s="37">
        <v>31.378422467680473</v>
      </c>
    </row>
    <row r="1316">
      <c r="A1316" s="36"/>
      <c r="B1316" s="37">
        <v>6.038422467680474</v>
      </c>
    </row>
    <row r="1317">
      <c r="A1317" s="36"/>
      <c r="B1317" s="37">
        <v>40.73842246768047</v>
      </c>
    </row>
    <row r="1318">
      <c r="A1318" s="36"/>
      <c r="B1318" s="37">
        <v>31.498422467680477</v>
      </c>
    </row>
    <row r="1319">
      <c r="A1319" s="36"/>
      <c r="B1319" s="37">
        <v>27.598422467680475</v>
      </c>
    </row>
    <row r="1320">
      <c r="A1320" s="36"/>
      <c r="B1320" s="37">
        <v>53.13842246768048</v>
      </c>
    </row>
    <row r="1321">
      <c r="A1321" s="36"/>
      <c r="B1321" s="37">
        <v>36.74842246768048</v>
      </c>
    </row>
    <row r="1322">
      <c r="A1322" s="36"/>
      <c r="B1322" s="37">
        <v>70.73842246768046</v>
      </c>
    </row>
    <row r="1323">
      <c r="A1323" s="36"/>
      <c r="B1323" s="37">
        <v>16.708422467680474</v>
      </c>
    </row>
    <row r="1324">
      <c r="A1324" s="36"/>
      <c r="B1324" s="37">
        <v>43.20842246768048</v>
      </c>
    </row>
    <row r="1325">
      <c r="A1325" s="36"/>
      <c r="B1325" s="37">
        <v>13.788422467680473</v>
      </c>
    </row>
    <row r="1326">
      <c r="A1326" s="36"/>
      <c r="B1326" s="37">
        <v>0.3084224676804739</v>
      </c>
    </row>
    <row r="1327">
      <c r="A1327" s="36"/>
      <c r="B1327" s="37">
        <v>1.1284224676804737</v>
      </c>
    </row>
    <row r="1328">
      <c r="A1328" s="36"/>
      <c r="B1328" s="37">
        <v>11.418422467680474</v>
      </c>
    </row>
    <row r="1329">
      <c r="A1329" s="36"/>
      <c r="B1329" s="37">
        <v>9.698422467680473</v>
      </c>
    </row>
    <row r="1330">
      <c r="A1330" s="36"/>
      <c r="B1330" s="37">
        <v>9.078422467680474</v>
      </c>
    </row>
    <row r="1331">
      <c r="A1331" s="36"/>
      <c r="B1331" s="37">
        <v>38.45842246768048</v>
      </c>
    </row>
    <row r="1332">
      <c r="A1332" s="36"/>
      <c r="B1332" s="37">
        <v>11.048422467680473</v>
      </c>
    </row>
    <row r="1333">
      <c r="A1333" s="36"/>
      <c r="B1333" s="37">
        <v>2.2584224676804734</v>
      </c>
    </row>
    <row r="1334">
      <c r="A1334" s="36"/>
      <c r="B1334" s="37">
        <v>24.968422467680476</v>
      </c>
    </row>
    <row r="1335">
      <c r="A1335" s="36"/>
      <c r="B1335" s="37">
        <v>42.508422467680475</v>
      </c>
    </row>
    <row r="1336">
      <c r="A1336" s="36"/>
      <c r="B1336" s="37">
        <v>0.29842246768047387</v>
      </c>
    </row>
    <row r="1337">
      <c r="A1337" s="36"/>
      <c r="B1337" s="37">
        <v>2.2184224676804734</v>
      </c>
    </row>
    <row r="1338">
      <c r="A1338" s="36"/>
      <c r="B1338" s="37">
        <v>33.16842246768047</v>
      </c>
    </row>
    <row r="1339">
      <c r="A1339" s="36"/>
      <c r="B1339" s="37">
        <v>9.848422467680473</v>
      </c>
    </row>
    <row r="1340">
      <c r="A1340" s="36"/>
      <c r="B1340" s="37">
        <v>27.588422467680473</v>
      </c>
    </row>
    <row r="1341">
      <c r="A1341" s="36"/>
      <c r="B1341" s="37">
        <v>17.468422467680476</v>
      </c>
    </row>
    <row r="1342">
      <c r="A1342" s="36"/>
      <c r="B1342" s="37">
        <v>11.558422467680472</v>
      </c>
    </row>
    <row r="1343">
      <c r="A1343" s="36"/>
      <c r="B1343" s="37">
        <v>11.798422467680473</v>
      </c>
    </row>
    <row r="1344">
      <c r="A1344" s="36"/>
      <c r="B1344" s="37">
        <v>43.20842246768048</v>
      </c>
    </row>
    <row r="1345">
      <c r="A1345" s="36"/>
      <c r="B1345" s="37">
        <v>3.738422467680474</v>
      </c>
    </row>
    <row r="1346">
      <c r="A1346" s="36"/>
      <c r="B1346" s="37">
        <v>53.298422467680474</v>
      </c>
    </row>
    <row r="1347">
      <c r="A1347" s="36"/>
      <c r="B1347" s="37">
        <v>17.448422467680476</v>
      </c>
    </row>
    <row r="1348">
      <c r="A1348" s="36"/>
      <c r="B1348" s="37">
        <v>19.488422467680476</v>
      </c>
    </row>
    <row r="1349">
      <c r="A1349" s="36"/>
      <c r="B1349" s="37">
        <v>14.388422467680472</v>
      </c>
    </row>
    <row r="1350">
      <c r="A1350" s="36"/>
      <c r="B1350" s="37">
        <v>39.27842246768048</v>
      </c>
    </row>
    <row r="1351">
      <c r="A1351" s="36"/>
      <c r="B1351" s="37">
        <v>12.598422467680473</v>
      </c>
    </row>
    <row r="1352">
      <c r="A1352" s="36"/>
      <c r="B1352" s="37">
        <v>52.30842246768047</v>
      </c>
    </row>
    <row r="1353">
      <c r="A1353" s="36"/>
      <c r="B1353" s="37">
        <v>26.718422467680476</v>
      </c>
    </row>
    <row r="1354">
      <c r="A1354" s="36"/>
      <c r="B1354" s="37">
        <v>13.288422467680473</v>
      </c>
    </row>
    <row r="1355">
      <c r="A1355" s="36"/>
      <c r="B1355" s="37">
        <v>43.868422467680475</v>
      </c>
    </row>
    <row r="1356">
      <c r="A1356" s="36"/>
      <c r="B1356" s="37">
        <v>25.058422467680476</v>
      </c>
    </row>
    <row r="1357">
      <c r="A1357" s="36"/>
      <c r="B1357" s="37">
        <v>4.178422467680474</v>
      </c>
    </row>
    <row r="1358">
      <c r="A1358" s="36"/>
      <c r="B1358" s="37">
        <v>11.888422467680472</v>
      </c>
    </row>
    <row r="1359">
      <c r="A1359" s="36"/>
      <c r="B1359" s="37">
        <v>30.698422467680476</v>
      </c>
    </row>
    <row r="1360">
      <c r="A1360" s="36"/>
      <c r="B1360" s="37">
        <v>63.468422467680476</v>
      </c>
    </row>
    <row r="1361">
      <c r="A1361" s="36"/>
      <c r="B1361" s="37">
        <v>12.088422467680473</v>
      </c>
    </row>
    <row r="1362">
      <c r="A1362" s="36"/>
      <c r="B1362" s="37">
        <v>18.538422467680476</v>
      </c>
    </row>
    <row r="1363">
      <c r="A1363" s="36"/>
      <c r="B1363" s="37">
        <v>58.56842246768048</v>
      </c>
    </row>
    <row r="1364">
      <c r="A1364" s="36"/>
      <c r="B1364" s="37">
        <v>27.078422467680475</v>
      </c>
    </row>
    <row r="1365">
      <c r="A1365" s="36"/>
      <c r="B1365" s="37">
        <v>23.798422467680474</v>
      </c>
    </row>
    <row r="1366">
      <c r="A1366" s="36"/>
      <c r="B1366" s="37">
        <v>11.488422467680474</v>
      </c>
    </row>
    <row r="1367">
      <c r="A1367" s="36"/>
      <c r="B1367" s="37">
        <v>50.62842246768047</v>
      </c>
    </row>
    <row r="1368">
      <c r="A1368" s="36"/>
      <c r="B1368" s="37">
        <v>28.038422467680476</v>
      </c>
    </row>
    <row r="1369">
      <c r="A1369" s="36"/>
      <c r="B1369" s="37">
        <v>3.268422467680474</v>
      </c>
    </row>
    <row r="1370">
      <c r="A1370" s="36"/>
      <c r="B1370" s="37">
        <v>1.0084224676804736</v>
      </c>
    </row>
    <row r="1371">
      <c r="A1371" s="36"/>
      <c r="B1371" s="37">
        <v>31.588422467680473</v>
      </c>
    </row>
    <row r="1372">
      <c r="A1372" s="36"/>
      <c r="B1372" s="37">
        <v>54.62842246768047</v>
      </c>
    </row>
    <row r="1373">
      <c r="A1373" s="36"/>
      <c r="B1373" s="37">
        <v>34.508422467680475</v>
      </c>
    </row>
    <row r="1374">
      <c r="A1374" s="36"/>
      <c r="B1374" s="37">
        <v>14.848422467680473</v>
      </c>
    </row>
    <row r="1375">
      <c r="A1375" s="36"/>
      <c r="B1375" s="37">
        <v>10.598422467680473</v>
      </c>
    </row>
    <row r="1376">
      <c r="A1376" s="36"/>
      <c r="B1376" s="37">
        <v>3.768422467680474</v>
      </c>
    </row>
    <row r="1377">
      <c r="A1377" s="36"/>
      <c r="B1377" s="37">
        <v>17.458422467680474</v>
      </c>
    </row>
    <row r="1378">
      <c r="A1378" s="36"/>
      <c r="B1378" s="37">
        <v>18.438422467680475</v>
      </c>
    </row>
    <row r="1379">
      <c r="A1379" s="36"/>
      <c r="B1379" s="37">
        <v>13.108422467680473</v>
      </c>
    </row>
    <row r="1380">
      <c r="A1380" s="36"/>
      <c r="B1380" s="37">
        <v>24.328422467680475</v>
      </c>
    </row>
    <row r="1381">
      <c r="A1381" s="36"/>
      <c r="B1381" s="37">
        <v>45.758422467680475</v>
      </c>
    </row>
    <row r="1382">
      <c r="A1382" s="36"/>
      <c r="B1382" s="37">
        <v>48.008422467680475</v>
      </c>
    </row>
    <row r="1383">
      <c r="A1383" s="36"/>
      <c r="B1383" s="37">
        <v>70.94842246768047</v>
      </c>
    </row>
    <row r="1384">
      <c r="A1384" s="36"/>
      <c r="B1384" s="37">
        <v>20.628422467680476</v>
      </c>
    </row>
    <row r="1385">
      <c r="A1385" s="36"/>
      <c r="B1385" s="37">
        <v>38.81842246768048</v>
      </c>
    </row>
    <row r="1386">
      <c r="A1386" s="36"/>
      <c r="B1386" s="37">
        <v>9.568422467680474</v>
      </c>
    </row>
    <row r="1387">
      <c r="A1387" s="36"/>
      <c r="B1387" s="37">
        <v>11.938422467680473</v>
      </c>
    </row>
    <row r="1388">
      <c r="A1388" s="36"/>
      <c r="B1388" s="37">
        <v>11.538422467680473</v>
      </c>
    </row>
    <row r="1389">
      <c r="A1389" s="36"/>
      <c r="B1389" s="37">
        <v>1.5284224676804736</v>
      </c>
    </row>
    <row r="1390">
      <c r="A1390" s="36"/>
      <c r="B1390" s="37">
        <v>9.948422467680473</v>
      </c>
    </row>
    <row r="1391">
      <c r="A1391" s="36"/>
      <c r="B1391" s="37">
        <v>11.248422467680474</v>
      </c>
    </row>
    <row r="1392">
      <c r="A1392" s="36"/>
      <c r="B1392" s="37">
        <v>9.098422467680473</v>
      </c>
    </row>
    <row r="1393">
      <c r="A1393" s="36"/>
      <c r="B1393" s="37">
        <v>12.168422467680474</v>
      </c>
    </row>
    <row r="1394">
      <c r="A1394" s="36"/>
      <c r="B1394" s="37">
        <v>11.778422467680473</v>
      </c>
    </row>
    <row r="1395">
      <c r="A1395" s="36"/>
      <c r="B1395" s="37">
        <v>8.458422467680473</v>
      </c>
    </row>
    <row r="1396">
      <c r="A1396" s="36"/>
      <c r="B1396" s="37">
        <v>19.288422467680476</v>
      </c>
    </row>
    <row r="1397">
      <c r="A1397" s="36"/>
      <c r="B1397" s="37">
        <v>57.478422467680474</v>
      </c>
    </row>
    <row r="1398">
      <c r="A1398" s="36"/>
      <c r="B1398" s="37">
        <v>8.228422467680472</v>
      </c>
    </row>
    <row r="1399">
      <c r="A1399" s="36"/>
      <c r="B1399" s="37">
        <v>50.438422467680475</v>
      </c>
    </row>
    <row r="1400">
      <c r="A1400" s="36"/>
      <c r="B1400" s="37">
        <v>3.2984224676804743</v>
      </c>
    </row>
    <row r="1401">
      <c r="A1401" s="36"/>
      <c r="B1401" s="37">
        <v>36.078422467680475</v>
      </c>
    </row>
    <row r="1402">
      <c r="A1402" s="36"/>
      <c r="B1402" s="37">
        <v>30.518422467680473</v>
      </c>
    </row>
    <row r="1403">
      <c r="A1403" s="36"/>
      <c r="B1403" s="37">
        <v>9.618422467680473</v>
      </c>
    </row>
    <row r="1404">
      <c r="A1404" s="36"/>
      <c r="B1404" s="37">
        <v>12.598422467680473</v>
      </c>
    </row>
    <row r="1405">
      <c r="A1405" s="36"/>
      <c r="B1405" s="37">
        <v>31.208422467680478</v>
      </c>
    </row>
    <row r="1406">
      <c r="A1406" s="36"/>
      <c r="B1406" s="37">
        <v>41.798422467680474</v>
      </c>
    </row>
    <row r="1407">
      <c r="A1407" s="36"/>
      <c r="B1407" s="37">
        <v>9.498422467680474</v>
      </c>
    </row>
    <row r="1408">
      <c r="A1408" s="36"/>
      <c r="B1408" s="37">
        <v>3.478422467680474</v>
      </c>
    </row>
    <row r="1409">
      <c r="A1409" s="36"/>
      <c r="B1409" s="37">
        <v>20.998422467680474</v>
      </c>
    </row>
    <row r="1410">
      <c r="A1410" s="36"/>
      <c r="B1410" s="37">
        <v>15.318422467680472</v>
      </c>
    </row>
    <row r="1411">
      <c r="A1411" s="36"/>
      <c r="B1411" s="37">
        <v>76.87842246768047</v>
      </c>
    </row>
    <row r="1412">
      <c r="A1412" s="36"/>
      <c r="B1412" s="37">
        <v>2.638422467680474</v>
      </c>
    </row>
    <row r="1413">
      <c r="A1413" s="36"/>
      <c r="B1413" s="37">
        <v>22.108422467680477</v>
      </c>
    </row>
    <row r="1414">
      <c r="A1414" s="36"/>
      <c r="B1414" s="37">
        <v>54.08842246768047</v>
      </c>
    </row>
    <row r="1415">
      <c r="A1415" s="36"/>
      <c r="B1415" s="37">
        <v>15.708422467680473</v>
      </c>
    </row>
    <row r="1416">
      <c r="A1416" s="36"/>
      <c r="B1416" s="37">
        <v>2.5384224676804736</v>
      </c>
    </row>
    <row r="1417">
      <c r="A1417" s="36"/>
      <c r="B1417" s="37">
        <v>36.27842246768048</v>
      </c>
    </row>
    <row r="1418">
      <c r="A1418" s="36"/>
      <c r="B1418" s="37">
        <v>14.558422467680472</v>
      </c>
    </row>
    <row r="1419">
      <c r="A1419" s="36"/>
      <c r="B1419" s="37">
        <v>4.348422467680474</v>
      </c>
    </row>
    <row r="1420">
      <c r="A1420" s="36"/>
      <c r="B1420" s="37">
        <v>38.12842246768047</v>
      </c>
    </row>
    <row r="1421">
      <c r="A1421" s="36"/>
      <c r="B1421" s="37">
        <v>20.838422467680473</v>
      </c>
    </row>
    <row r="1422">
      <c r="A1422" s="36"/>
      <c r="B1422" s="37">
        <v>13.378422467680473</v>
      </c>
    </row>
    <row r="1423">
      <c r="A1423" s="36"/>
      <c r="B1423" s="37">
        <v>1.7684224676804738</v>
      </c>
    </row>
    <row r="1424">
      <c r="A1424" s="36"/>
      <c r="B1424" s="37">
        <v>4.238422467680474</v>
      </c>
    </row>
    <row r="1425">
      <c r="A1425" s="36"/>
      <c r="B1425" s="37">
        <v>33.548422467680474</v>
      </c>
    </row>
    <row r="1426">
      <c r="A1426" s="36"/>
      <c r="B1426" s="37">
        <v>46.66842246768047</v>
      </c>
    </row>
    <row r="1427">
      <c r="A1427" s="36"/>
      <c r="B1427" s="37">
        <v>33.408422467680474</v>
      </c>
    </row>
    <row r="1428">
      <c r="A1428" s="36"/>
      <c r="B1428" s="37">
        <v>10.718422467680472</v>
      </c>
    </row>
    <row r="1429">
      <c r="A1429" s="36"/>
      <c r="B1429" s="37">
        <v>40.38842246768048</v>
      </c>
    </row>
    <row r="1430">
      <c r="A1430" s="36"/>
      <c r="B1430" s="37">
        <v>12.788422467680473</v>
      </c>
    </row>
    <row r="1431">
      <c r="A1431" s="36"/>
      <c r="B1431" s="37">
        <v>3.2484224676804736</v>
      </c>
    </row>
    <row r="1432">
      <c r="A1432" s="36"/>
      <c r="B1432" s="37">
        <v>14.518422467680473</v>
      </c>
    </row>
    <row r="1433">
      <c r="A1433" s="36"/>
      <c r="B1433" s="37">
        <v>75.22842246768047</v>
      </c>
    </row>
    <row r="1434">
      <c r="A1434" s="36"/>
      <c r="B1434" s="37">
        <v>13.838422467680473</v>
      </c>
    </row>
    <row r="1435">
      <c r="A1435" s="36"/>
      <c r="B1435" s="37">
        <v>1.4584224676804738</v>
      </c>
    </row>
    <row r="1436">
      <c r="A1436" s="36"/>
      <c r="B1436" s="37">
        <v>34.70842246768048</v>
      </c>
    </row>
    <row r="1437">
      <c r="A1437" s="36"/>
      <c r="B1437" s="37">
        <v>13.658422467680474</v>
      </c>
    </row>
    <row r="1438">
      <c r="A1438" s="36"/>
      <c r="B1438" s="37">
        <v>9.318422467680474</v>
      </c>
    </row>
    <row r="1439">
      <c r="A1439" s="36"/>
      <c r="B1439" s="37">
        <v>55.85842246768048</v>
      </c>
    </row>
    <row r="1440">
      <c r="A1440" s="36"/>
      <c r="B1440" s="37">
        <v>0.3684224676804737</v>
      </c>
    </row>
    <row r="1441">
      <c r="A1441" s="36"/>
      <c r="B1441" s="37">
        <v>32.618422467680475</v>
      </c>
    </row>
    <row r="1442">
      <c r="A1442" s="36"/>
      <c r="B1442" s="37">
        <v>35.758422467680475</v>
      </c>
    </row>
    <row r="1443">
      <c r="A1443" s="36"/>
      <c r="B1443" s="37">
        <v>11.478422467680472</v>
      </c>
    </row>
    <row r="1444">
      <c r="A1444" s="36"/>
      <c r="B1444" s="37">
        <v>16.948422467680476</v>
      </c>
    </row>
    <row r="1445">
      <c r="A1445" s="36"/>
      <c r="B1445" s="37">
        <v>32.478422467680474</v>
      </c>
    </row>
    <row r="1446">
      <c r="A1446" s="36"/>
      <c r="B1446" s="37">
        <v>15.428422467680472</v>
      </c>
    </row>
    <row r="1447">
      <c r="A1447" s="36"/>
      <c r="B1447" s="37">
        <v>33.718422467680476</v>
      </c>
    </row>
    <row r="1448">
      <c r="A1448" s="36"/>
      <c r="B1448" s="37">
        <v>46.078422467680475</v>
      </c>
    </row>
    <row r="1449">
      <c r="A1449" s="36"/>
      <c r="B1449" s="37">
        <v>30.278422467680475</v>
      </c>
    </row>
    <row r="1450">
      <c r="A1450" s="36"/>
      <c r="B1450" s="37">
        <v>12.608422467680473</v>
      </c>
    </row>
    <row r="1451">
      <c r="A1451" s="36"/>
      <c r="B1451" s="37">
        <v>21.528422467680475</v>
      </c>
    </row>
    <row r="1452">
      <c r="A1452" s="36"/>
      <c r="B1452" s="37">
        <v>27.748422467680474</v>
      </c>
    </row>
    <row r="1453">
      <c r="A1453" s="36"/>
      <c r="B1453" s="37">
        <v>14.598422467680473</v>
      </c>
    </row>
    <row r="1454">
      <c r="A1454" s="36"/>
      <c r="B1454" s="37">
        <v>11.288422467680473</v>
      </c>
    </row>
    <row r="1455">
      <c r="A1455" s="36"/>
      <c r="B1455" s="37">
        <v>16.878422467680476</v>
      </c>
    </row>
    <row r="1456">
      <c r="A1456" s="36"/>
      <c r="B1456" s="37">
        <v>0.9884224676804736</v>
      </c>
    </row>
    <row r="1457">
      <c r="A1457" s="36"/>
      <c r="B1457" s="37">
        <v>14.098422467680473</v>
      </c>
    </row>
    <row r="1458">
      <c r="A1458" s="36"/>
      <c r="B1458" s="37">
        <v>17.238422467680476</v>
      </c>
    </row>
    <row r="1459">
      <c r="A1459" s="36"/>
      <c r="B1459" s="37">
        <v>21.268422467680473</v>
      </c>
    </row>
    <row r="1460">
      <c r="A1460" s="36"/>
      <c r="B1460" s="37">
        <v>72.09842246768046</v>
      </c>
    </row>
    <row r="1461">
      <c r="A1461" s="36"/>
      <c r="B1461" s="37">
        <v>35.77842246768048</v>
      </c>
    </row>
    <row r="1462">
      <c r="A1462" s="36"/>
      <c r="B1462" s="37">
        <v>11.068422467680474</v>
      </c>
    </row>
    <row r="1463">
      <c r="A1463" s="36"/>
      <c r="B1463" s="37">
        <v>28.358422467680477</v>
      </c>
    </row>
    <row r="1464">
      <c r="A1464" s="36"/>
      <c r="B1464" s="37">
        <v>29.878422467680476</v>
      </c>
    </row>
    <row r="1465">
      <c r="A1465" s="36"/>
      <c r="B1465" s="37">
        <v>0.7184224676804738</v>
      </c>
    </row>
    <row r="1466">
      <c r="A1466" s="36"/>
      <c r="B1466" s="37">
        <v>52.59842246768047</v>
      </c>
    </row>
    <row r="1467">
      <c r="A1467" s="36"/>
      <c r="B1467" s="37">
        <v>27.618422467680475</v>
      </c>
    </row>
    <row r="1468">
      <c r="A1468" s="36"/>
      <c r="B1468" s="37">
        <v>13.748422467680474</v>
      </c>
    </row>
    <row r="1469">
      <c r="A1469" s="36"/>
      <c r="B1469" s="37">
        <v>27.538422467680476</v>
      </c>
    </row>
    <row r="1470">
      <c r="A1470" s="36"/>
      <c r="B1470" s="37">
        <v>39.758422467680475</v>
      </c>
    </row>
    <row r="1471">
      <c r="A1471" s="36"/>
      <c r="B1471" s="37">
        <v>38.35842246768048</v>
      </c>
    </row>
    <row r="1472">
      <c r="A1472" s="36"/>
      <c r="B1472" s="37">
        <v>2.3384224676804735</v>
      </c>
    </row>
    <row r="1473">
      <c r="A1473" s="36"/>
      <c r="B1473" s="37">
        <v>3.528422467680474</v>
      </c>
    </row>
    <row r="1474">
      <c r="A1474" s="36"/>
      <c r="B1474" s="37">
        <v>2.8284224676804737</v>
      </c>
    </row>
    <row r="1475">
      <c r="A1475" s="36"/>
      <c r="B1475" s="37">
        <v>32.44842246768047</v>
      </c>
    </row>
    <row r="1476">
      <c r="A1476" s="36"/>
      <c r="B1476" s="37">
        <v>54.34842246768047</v>
      </c>
    </row>
    <row r="1477">
      <c r="A1477" s="36"/>
      <c r="B1477" s="37">
        <v>16.178422467680473</v>
      </c>
    </row>
    <row r="1478">
      <c r="A1478" s="36"/>
      <c r="B1478" s="37">
        <v>41.13842246768048</v>
      </c>
    </row>
    <row r="1479">
      <c r="A1479" s="36"/>
      <c r="B1479" s="37">
        <v>31.838422467680473</v>
      </c>
    </row>
    <row r="1480">
      <c r="A1480" s="36"/>
      <c r="B1480" s="37">
        <v>37.77842246768048</v>
      </c>
    </row>
    <row r="1481">
      <c r="A1481" s="36"/>
      <c r="B1481" s="37">
        <v>39.148422467680476</v>
      </c>
    </row>
    <row r="1482">
      <c r="A1482" s="36"/>
      <c r="B1482" s="37">
        <v>15.888422467680472</v>
      </c>
    </row>
    <row r="1483">
      <c r="A1483" s="36"/>
      <c r="B1483" s="37">
        <v>27.808422467680476</v>
      </c>
    </row>
    <row r="1484">
      <c r="A1484" s="36"/>
      <c r="B1484" s="37">
        <v>55.73842246768047</v>
      </c>
    </row>
    <row r="1485">
      <c r="A1485" s="36"/>
      <c r="B1485" s="37">
        <v>9.268422467680473</v>
      </c>
    </row>
    <row r="1486">
      <c r="A1486" s="36"/>
      <c r="B1486" s="37">
        <v>18.778422467680475</v>
      </c>
    </row>
    <row r="1487">
      <c r="A1487" s="36"/>
      <c r="B1487" s="37">
        <v>28.378422467680476</v>
      </c>
    </row>
    <row r="1488">
      <c r="A1488" s="36"/>
      <c r="B1488" s="37">
        <v>2.348422467680474</v>
      </c>
    </row>
    <row r="1489">
      <c r="A1489" s="36"/>
      <c r="B1489" s="37">
        <v>58.33842246768047</v>
      </c>
    </row>
    <row r="1490">
      <c r="A1490" s="36"/>
      <c r="B1490" s="37">
        <v>12.148422467680474</v>
      </c>
    </row>
    <row r="1491">
      <c r="A1491" s="36"/>
      <c r="B1491" s="37">
        <v>30.558422467680476</v>
      </c>
    </row>
    <row r="1492">
      <c r="A1492" s="36"/>
      <c r="B1492" s="37">
        <v>59.76842246768047</v>
      </c>
    </row>
    <row r="1493">
      <c r="A1493" s="36"/>
      <c r="B1493" s="37">
        <v>62.12842246768047</v>
      </c>
    </row>
    <row r="1494">
      <c r="A1494" s="36"/>
      <c r="B1494" s="37">
        <v>41.12842246768047</v>
      </c>
    </row>
    <row r="1495">
      <c r="A1495" s="36"/>
      <c r="B1495" s="37">
        <v>10.028422467680473</v>
      </c>
    </row>
    <row r="1496">
      <c r="A1496" s="36"/>
      <c r="B1496" s="37">
        <v>35.62842246768047</v>
      </c>
    </row>
    <row r="1497">
      <c r="A1497" s="36"/>
      <c r="B1497" s="37">
        <v>16.488422467680476</v>
      </c>
    </row>
    <row r="1498">
      <c r="A1498" s="36"/>
      <c r="B1498" s="37">
        <v>40.34842246768047</v>
      </c>
    </row>
    <row r="1499">
      <c r="A1499" s="36"/>
      <c r="B1499" s="37">
        <v>11.908422467680474</v>
      </c>
    </row>
    <row r="1500">
      <c r="A1500" s="36"/>
      <c r="B1500" s="37">
        <v>13.868422467680473</v>
      </c>
    </row>
    <row r="1501">
      <c r="A1501" s="36"/>
      <c r="B1501" s="37">
        <v>15.268422467680471</v>
      </c>
    </row>
    <row r="1502">
      <c r="A1502" s="36"/>
      <c r="B1502" s="37">
        <v>1.368422467680474</v>
      </c>
    </row>
    <row r="1503">
      <c r="A1503" s="36"/>
      <c r="B1503" s="37">
        <v>23.948422467680476</v>
      </c>
    </row>
    <row r="1504">
      <c r="A1504" s="36"/>
      <c r="B1504" s="37">
        <v>13.948422467680473</v>
      </c>
    </row>
    <row r="1505">
      <c r="A1505" s="36"/>
      <c r="B1505" s="37">
        <v>33.63842246768048</v>
      </c>
    </row>
    <row r="1506">
      <c r="A1506" s="36"/>
      <c r="B1506" s="37">
        <v>14.918422467680474</v>
      </c>
    </row>
    <row r="1507">
      <c r="A1507" s="36"/>
      <c r="B1507" s="37">
        <v>14.738422467680474</v>
      </c>
    </row>
    <row r="1508">
      <c r="A1508" s="36"/>
      <c r="B1508" s="37">
        <v>25.478422467680474</v>
      </c>
    </row>
    <row r="1509">
      <c r="A1509" s="36"/>
      <c r="B1509" s="37">
        <v>14.008422467680473</v>
      </c>
    </row>
    <row r="1510">
      <c r="A1510" s="36"/>
      <c r="B1510" s="37">
        <v>47.788422467680476</v>
      </c>
    </row>
    <row r="1511">
      <c r="A1511" s="36"/>
      <c r="B1511" s="37">
        <v>35.548422467680474</v>
      </c>
    </row>
    <row r="1512">
      <c r="A1512" s="36"/>
      <c r="B1512" s="37">
        <v>10.638422467680472</v>
      </c>
    </row>
    <row r="1513">
      <c r="A1513" s="36"/>
      <c r="B1513" s="37">
        <v>57.87842246768047</v>
      </c>
    </row>
    <row r="1514">
      <c r="A1514" s="36"/>
      <c r="B1514" s="37">
        <v>9.498422467680474</v>
      </c>
    </row>
    <row r="1515">
      <c r="A1515" s="36"/>
      <c r="B1515" s="37">
        <v>13.148422467680474</v>
      </c>
    </row>
    <row r="1516">
      <c r="A1516" s="36"/>
      <c r="B1516" s="37">
        <v>33.09842246768047</v>
      </c>
    </row>
    <row r="1517">
      <c r="A1517" s="36"/>
      <c r="B1517" s="37">
        <v>46.84842246768047</v>
      </c>
    </row>
    <row r="1518">
      <c r="A1518" s="36"/>
      <c r="B1518" s="37">
        <v>15.308422467680474</v>
      </c>
    </row>
    <row r="1519">
      <c r="A1519" s="36"/>
      <c r="B1519" s="37">
        <v>37.58842246768047</v>
      </c>
    </row>
    <row r="1520">
      <c r="A1520" s="36"/>
      <c r="B1520" s="37">
        <v>13.068422467680474</v>
      </c>
    </row>
    <row r="1521">
      <c r="A1521" s="36"/>
      <c r="B1521" s="37">
        <v>20.958422467680474</v>
      </c>
    </row>
    <row r="1522">
      <c r="A1522" s="36"/>
      <c r="B1522" s="37">
        <v>27.108422467680477</v>
      </c>
    </row>
    <row r="1523">
      <c r="A1523" s="36"/>
      <c r="B1523" s="37">
        <v>17.158422467680474</v>
      </c>
    </row>
    <row r="1524">
      <c r="A1524" s="36"/>
      <c r="B1524" s="37">
        <v>53.718422467680476</v>
      </c>
    </row>
    <row r="1525">
      <c r="A1525" s="36"/>
      <c r="B1525" s="37">
        <v>68.15842246768047</v>
      </c>
    </row>
    <row r="1526">
      <c r="A1526" s="36"/>
      <c r="B1526" s="37">
        <v>1.5084224676804736</v>
      </c>
    </row>
    <row r="1527">
      <c r="A1527" s="36"/>
      <c r="B1527" s="37">
        <v>9.098422467680473</v>
      </c>
    </row>
    <row r="1528">
      <c r="A1528" s="36"/>
      <c r="B1528" s="37">
        <v>0.7784224676804739</v>
      </c>
    </row>
    <row r="1529">
      <c r="A1529" s="36"/>
      <c r="B1529" s="37">
        <v>14.138422467680472</v>
      </c>
    </row>
    <row r="1530">
      <c r="A1530" s="36"/>
      <c r="B1530" s="37">
        <v>16.848422467680475</v>
      </c>
    </row>
    <row r="1531">
      <c r="A1531" s="36"/>
      <c r="B1531" s="37">
        <v>14.028422467680473</v>
      </c>
    </row>
    <row r="1532">
      <c r="A1532" s="36"/>
      <c r="B1532" s="37">
        <v>40.078422467680475</v>
      </c>
    </row>
    <row r="1533">
      <c r="A1533" s="36"/>
      <c r="B1533" s="37">
        <v>65.85842246768047</v>
      </c>
    </row>
    <row r="1534">
      <c r="A1534" s="36"/>
      <c r="B1534" s="37">
        <v>1.4584224676804738</v>
      </c>
    </row>
    <row r="1535">
      <c r="A1535" s="36"/>
      <c r="B1535" s="37">
        <v>14.678422467680473</v>
      </c>
    </row>
    <row r="1536">
      <c r="A1536" s="36"/>
      <c r="B1536" s="37">
        <v>13.258422467680473</v>
      </c>
    </row>
    <row r="1537">
      <c r="A1537" s="36"/>
      <c r="B1537" s="37">
        <v>33.27842246768048</v>
      </c>
    </row>
    <row r="1538">
      <c r="A1538" s="36"/>
      <c r="B1538" s="37">
        <v>1.388422467680474</v>
      </c>
    </row>
    <row r="1539">
      <c r="A1539" s="36"/>
      <c r="B1539" s="37">
        <v>62.81842246768048</v>
      </c>
    </row>
    <row r="1540">
      <c r="A1540" s="36"/>
      <c r="B1540" s="37">
        <v>1.9684224676804736</v>
      </c>
    </row>
    <row r="1541">
      <c r="A1541" s="36"/>
      <c r="B1541" s="37">
        <v>31.488422467680472</v>
      </c>
    </row>
    <row r="1542">
      <c r="A1542" s="36"/>
      <c r="B1542" s="37">
        <v>9.578422467680474</v>
      </c>
    </row>
    <row r="1543">
      <c r="A1543" s="36"/>
      <c r="B1543" s="37">
        <v>24.528422467680475</v>
      </c>
    </row>
    <row r="1544">
      <c r="A1544" s="36"/>
      <c r="B1544" s="37">
        <v>1.638422467680474</v>
      </c>
    </row>
    <row r="1545">
      <c r="A1545" s="36"/>
      <c r="B1545" s="37">
        <v>13.068422467680474</v>
      </c>
    </row>
    <row r="1546">
      <c r="A1546" s="36"/>
      <c r="B1546" s="37">
        <v>9.448422467680473</v>
      </c>
    </row>
    <row r="1547">
      <c r="A1547" s="36"/>
      <c r="B1547" s="37">
        <v>28.378422467680476</v>
      </c>
    </row>
    <row r="1548">
      <c r="A1548" s="36"/>
      <c r="B1548" s="37">
        <v>74.49842246768047</v>
      </c>
    </row>
    <row r="1549">
      <c r="A1549" s="36"/>
      <c r="B1549" s="37">
        <v>1.8784224676804737</v>
      </c>
    </row>
    <row r="1550">
      <c r="A1550" s="36"/>
      <c r="B1550" s="37">
        <v>15.398422467680474</v>
      </c>
    </row>
    <row r="1551">
      <c r="A1551" s="36"/>
      <c r="B1551" s="37">
        <v>14.448422467680473</v>
      </c>
    </row>
    <row r="1552">
      <c r="A1552" s="36"/>
      <c r="B1552" s="37">
        <v>10.688422467680473</v>
      </c>
    </row>
    <row r="1553">
      <c r="A1553" s="36"/>
      <c r="B1553" s="37">
        <v>35.20842246768048</v>
      </c>
    </row>
    <row r="1554">
      <c r="A1554" s="36"/>
      <c r="B1554" s="37">
        <v>30.698422467680476</v>
      </c>
    </row>
    <row r="1555">
      <c r="A1555" s="36"/>
      <c r="B1555" s="37">
        <v>1.618422467680474</v>
      </c>
    </row>
    <row r="1556">
      <c r="A1556" s="36"/>
      <c r="B1556" s="37">
        <v>48.618422467680475</v>
      </c>
    </row>
    <row r="1557">
      <c r="A1557" s="36"/>
      <c r="B1557" s="37">
        <v>22.838422467680473</v>
      </c>
    </row>
    <row r="1558">
      <c r="A1558" s="36"/>
      <c r="B1558" s="37">
        <v>16.308422467680476</v>
      </c>
    </row>
    <row r="1559">
      <c r="A1559" s="36"/>
      <c r="B1559" s="37">
        <v>12.568422467680474</v>
      </c>
    </row>
    <row r="1560">
      <c r="A1560" s="36"/>
      <c r="B1560" s="37">
        <v>9.368422467680473</v>
      </c>
    </row>
    <row r="1561">
      <c r="A1561" s="36"/>
      <c r="B1561" s="37">
        <v>13.298422467680473</v>
      </c>
    </row>
    <row r="1562">
      <c r="A1562" s="36"/>
      <c r="B1562" s="37">
        <v>11.648422467680474</v>
      </c>
    </row>
    <row r="1563">
      <c r="A1563" s="36"/>
      <c r="B1563" s="37">
        <v>11.178422467680473</v>
      </c>
    </row>
    <row r="1564">
      <c r="A1564" s="36"/>
      <c r="B1564" s="37">
        <v>11.258422467680473</v>
      </c>
    </row>
    <row r="1565">
      <c r="A1565" s="36"/>
      <c r="B1565" s="37">
        <v>1.9884224676804736</v>
      </c>
    </row>
    <row r="1566">
      <c r="A1566" s="36"/>
      <c r="B1566" s="37">
        <v>51.398422467680476</v>
      </c>
    </row>
    <row r="1567">
      <c r="A1567" s="36"/>
      <c r="B1567" s="37">
        <v>9.248422467680474</v>
      </c>
    </row>
    <row r="1568">
      <c r="A1568" s="36"/>
      <c r="B1568" s="37">
        <v>3.0784224676804737</v>
      </c>
    </row>
    <row r="1569">
      <c r="A1569" s="36"/>
      <c r="B1569" s="37">
        <v>2.6684224676804735</v>
      </c>
    </row>
    <row r="1570">
      <c r="A1570" s="36"/>
      <c r="B1570" s="37">
        <v>58.368422467680475</v>
      </c>
    </row>
    <row r="1571">
      <c r="A1571" s="36"/>
      <c r="B1571" s="37">
        <v>32.788422467680476</v>
      </c>
    </row>
    <row r="1572">
      <c r="A1572" s="36"/>
      <c r="B1572" s="37">
        <v>9.328422467680474</v>
      </c>
    </row>
    <row r="1573">
      <c r="A1573" s="36"/>
      <c r="B1573" s="37">
        <v>11.798422467680473</v>
      </c>
    </row>
    <row r="1574">
      <c r="A1574" s="36"/>
      <c r="B1574" s="37">
        <v>3.018422467680474</v>
      </c>
    </row>
    <row r="1575">
      <c r="A1575" s="36"/>
      <c r="B1575" s="37">
        <v>11.988422467680474</v>
      </c>
    </row>
    <row r="1576">
      <c r="A1576" s="36"/>
      <c r="B1576" s="37">
        <v>36.688422467680475</v>
      </c>
    </row>
    <row r="1577">
      <c r="A1577" s="36"/>
      <c r="B1577" s="37">
        <v>11.848422467680473</v>
      </c>
    </row>
    <row r="1578">
      <c r="A1578" s="36"/>
      <c r="B1578" s="37">
        <v>19.818422467680474</v>
      </c>
    </row>
    <row r="1579">
      <c r="A1579" s="36"/>
      <c r="B1579" s="37">
        <v>34.938422467680475</v>
      </c>
    </row>
    <row r="1580">
      <c r="A1580" s="36"/>
      <c r="B1580" s="37">
        <v>6.908422467680474</v>
      </c>
    </row>
    <row r="1581">
      <c r="A1581" s="36"/>
      <c r="B1581" s="37">
        <v>12.748422467680474</v>
      </c>
    </row>
    <row r="1582">
      <c r="A1582" s="36"/>
      <c r="B1582" s="37">
        <v>15.018422467680471</v>
      </c>
    </row>
    <row r="1583">
      <c r="A1583" s="36"/>
      <c r="B1583" s="37">
        <v>10.798422467680473</v>
      </c>
    </row>
    <row r="1584">
      <c r="A1584" s="36"/>
      <c r="B1584" s="37">
        <v>60.548422467680474</v>
      </c>
    </row>
    <row r="1585">
      <c r="A1585" s="36"/>
      <c r="B1585" s="37">
        <v>30.598422467680475</v>
      </c>
    </row>
    <row r="1586">
      <c r="A1586" s="36"/>
      <c r="B1586" s="37">
        <v>34.24842246768048</v>
      </c>
    </row>
    <row r="1587">
      <c r="A1587" s="36"/>
      <c r="B1587" s="37">
        <v>10.638422467680472</v>
      </c>
    </row>
    <row r="1588">
      <c r="A1588" s="36"/>
      <c r="B1588" s="37">
        <v>67.06842246768046</v>
      </c>
    </row>
    <row r="1589">
      <c r="A1589" s="36"/>
      <c r="B1589" s="37">
        <v>7.808422467680473</v>
      </c>
    </row>
    <row r="1590">
      <c r="A1590" s="36"/>
      <c r="B1590" s="37">
        <v>10.798422467680473</v>
      </c>
    </row>
    <row r="1591">
      <c r="A1591" s="36"/>
      <c r="B1591" s="37">
        <v>13.708422467680473</v>
      </c>
    </row>
    <row r="1592">
      <c r="A1592" s="36"/>
      <c r="B1592" s="37">
        <v>9.818422467680474</v>
      </c>
    </row>
    <row r="1593">
      <c r="A1593" s="36"/>
      <c r="B1593" s="37">
        <v>36.718422467680476</v>
      </c>
    </row>
    <row r="1594">
      <c r="A1594" s="36"/>
      <c r="B1594" s="37">
        <v>12.848422467680473</v>
      </c>
    </row>
    <row r="1595">
      <c r="A1595" s="36"/>
      <c r="B1595" s="37">
        <v>16.598422467680475</v>
      </c>
    </row>
    <row r="1596">
      <c r="A1596" s="36"/>
      <c r="B1596" s="37">
        <v>32.258422467680475</v>
      </c>
    </row>
    <row r="1597">
      <c r="A1597" s="36"/>
      <c r="B1597" s="37">
        <v>9.958422467680473</v>
      </c>
    </row>
    <row r="1598">
      <c r="A1598" s="36"/>
      <c r="B1598" s="37">
        <v>75.71842246768047</v>
      </c>
    </row>
    <row r="1599">
      <c r="A1599" s="36"/>
      <c r="B1599" s="37">
        <v>45.16842246768047</v>
      </c>
    </row>
    <row r="1600">
      <c r="A1600" s="36"/>
      <c r="B1600" s="37">
        <v>9.398422467680474</v>
      </c>
    </row>
    <row r="1601">
      <c r="A1601" s="36"/>
      <c r="B1601" s="37">
        <v>15.008422467680473</v>
      </c>
    </row>
    <row r="1602">
      <c r="A1602" s="36"/>
      <c r="B1602" s="37">
        <v>21.608422467680477</v>
      </c>
    </row>
    <row r="1603">
      <c r="A1603" s="36"/>
      <c r="B1603" s="37">
        <v>14.558422467680472</v>
      </c>
    </row>
    <row r="1604">
      <c r="A1604" s="36"/>
      <c r="B1604" s="37">
        <v>28.218422467680476</v>
      </c>
    </row>
    <row r="1605">
      <c r="A1605" s="36"/>
      <c r="B1605" s="37">
        <v>13.748422467680474</v>
      </c>
    </row>
    <row r="1606">
      <c r="A1606" s="36"/>
      <c r="B1606" s="37">
        <v>12.838422467680473</v>
      </c>
    </row>
    <row r="1607">
      <c r="A1607" s="36"/>
      <c r="B1607" s="37">
        <v>14.708422467680473</v>
      </c>
    </row>
    <row r="1608">
      <c r="A1608" s="36"/>
      <c r="B1608" s="37">
        <v>47.56842246768048</v>
      </c>
    </row>
    <row r="1609">
      <c r="A1609" s="36"/>
      <c r="B1609" s="37">
        <v>64.81842246768046</v>
      </c>
    </row>
    <row r="1610">
      <c r="A1610" s="36"/>
      <c r="B1610" s="37">
        <v>13.468422467680472</v>
      </c>
    </row>
    <row r="1611">
      <c r="A1611" s="36"/>
      <c r="B1611" s="37">
        <v>9.118422467680473</v>
      </c>
    </row>
    <row r="1612">
      <c r="A1612" s="36"/>
      <c r="B1612" s="37">
        <v>35.16842246768047</v>
      </c>
    </row>
    <row r="1613">
      <c r="A1613" s="36"/>
      <c r="B1613" s="37">
        <v>34.69842246768047</v>
      </c>
    </row>
    <row r="1614">
      <c r="A1614" s="36"/>
      <c r="B1614" s="37">
        <v>9.118422467680473</v>
      </c>
    </row>
    <row r="1615">
      <c r="A1615" s="36"/>
      <c r="B1615" s="37">
        <v>68.46842246768047</v>
      </c>
    </row>
    <row r="1616">
      <c r="A1616" s="36"/>
      <c r="B1616" s="37">
        <v>13.708422467680473</v>
      </c>
    </row>
    <row r="1617">
      <c r="A1617" s="36"/>
      <c r="B1617" s="37">
        <v>17.628422467680476</v>
      </c>
    </row>
    <row r="1618">
      <c r="A1618" s="36"/>
      <c r="B1618" s="37">
        <v>51.83842246768047</v>
      </c>
    </row>
    <row r="1619">
      <c r="A1619" s="36"/>
      <c r="B1619" s="37">
        <v>9.558422467680472</v>
      </c>
    </row>
    <row r="1620">
      <c r="A1620" s="36"/>
      <c r="B1620" s="37">
        <v>22.608422467680477</v>
      </c>
    </row>
    <row r="1621">
      <c r="A1621" s="36"/>
      <c r="B1621" s="37">
        <v>1.868422467680474</v>
      </c>
    </row>
    <row r="1622">
      <c r="A1622" s="36"/>
      <c r="B1622" s="37">
        <v>71.85842246768047</v>
      </c>
    </row>
    <row r="1623">
      <c r="A1623" s="36"/>
      <c r="B1623" s="37">
        <v>17.218422467680476</v>
      </c>
    </row>
    <row r="1624">
      <c r="A1624" s="36"/>
      <c r="B1624" s="37">
        <v>9.828422467680474</v>
      </c>
    </row>
    <row r="1625">
      <c r="A1625" s="36"/>
      <c r="B1625" s="37">
        <v>29.948422467680476</v>
      </c>
    </row>
    <row r="1626">
      <c r="A1626" s="36"/>
      <c r="B1626" s="37">
        <v>48.718422467680476</v>
      </c>
    </row>
    <row r="1627">
      <c r="A1627" s="36"/>
      <c r="B1627" s="37">
        <v>12.468422467680472</v>
      </c>
    </row>
    <row r="1628">
      <c r="A1628" s="36"/>
      <c r="B1628" s="37">
        <v>14.358422467680473</v>
      </c>
    </row>
    <row r="1629">
      <c r="A1629" s="36"/>
      <c r="B1629" s="37">
        <v>53.27842246768048</v>
      </c>
    </row>
    <row r="1630">
      <c r="A1630" s="36"/>
      <c r="B1630" s="37">
        <v>28.298422467680474</v>
      </c>
    </row>
    <row r="1631">
      <c r="A1631" s="36"/>
      <c r="B1631" s="37">
        <v>10.978422467680472</v>
      </c>
    </row>
    <row r="1632">
      <c r="A1632" s="36"/>
      <c r="B1632" s="37">
        <v>38.578422467680475</v>
      </c>
    </row>
    <row r="1633">
      <c r="A1633" s="36"/>
      <c r="B1633" s="37">
        <v>51.70842246768048</v>
      </c>
    </row>
    <row r="1634">
      <c r="A1634" s="36"/>
      <c r="B1634" s="37">
        <v>1.2184224676804736</v>
      </c>
    </row>
    <row r="1635">
      <c r="A1635" s="36"/>
      <c r="B1635" s="37">
        <v>56.42842246768048</v>
      </c>
    </row>
    <row r="1636">
      <c r="A1636" s="36"/>
      <c r="B1636" s="37">
        <v>56.728422467680474</v>
      </c>
    </row>
    <row r="1637">
      <c r="A1637" s="36"/>
      <c r="B1637" s="37">
        <v>20.178422467680473</v>
      </c>
    </row>
    <row r="1638">
      <c r="A1638" s="36"/>
      <c r="B1638" s="37">
        <v>36.438422467680475</v>
      </c>
    </row>
    <row r="1639">
      <c r="A1639" s="36"/>
      <c r="B1639" s="37">
        <v>35.35842246768048</v>
      </c>
    </row>
    <row r="1640">
      <c r="A1640" s="36"/>
      <c r="B1640" s="37">
        <v>0.9084224676804737</v>
      </c>
    </row>
    <row r="1641">
      <c r="A1641" s="36"/>
      <c r="B1641" s="37">
        <v>9.818422467680474</v>
      </c>
    </row>
    <row r="1642">
      <c r="A1642" s="36"/>
      <c r="B1642" s="37">
        <v>1.4384224676804738</v>
      </c>
    </row>
    <row r="1643">
      <c r="A1643" s="36"/>
      <c r="B1643" s="37">
        <v>37.12842246768047</v>
      </c>
    </row>
    <row r="1644">
      <c r="A1644" s="36"/>
      <c r="B1644" s="37">
        <v>73.19842246768047</v>
      </c>
    </row>
    <row r="1645">
      <c r="A1645" s="36"/>
      <c r="B1645" s="37">
        <v>19.468422467680476</v>
      </c>
    </row>
    <row r="1646">
      <c r="A1646" s="36"/>
      <c r="B1646" s="37">
        <v>33.258422467680475</v>
      </c>
    </row>
    <row r="1647">
      <c r="A1647" s="36"/>
      <c r="B1647" s="37">
        <v>37.94842246768047</v>
      </c>
    </row>
    <row r="1648">
      <c r="A1648" s="36"/>
      <c r="B1648" s="37">
        <v>27.408422467680474</v>
      </c>
    </row>
    <row r="1649">
      <c r="A1649" s="36"/>
      <c r="B1649" s="37">
        <v>11.348422467680473</v>
      </c>
    </row>
    <row r="1650">
      <c r="A1650" s="36"/>
      <c r="B1650" s="37">
        <v>32.438422467680475</v>
      </c>
    </row>
    <row r="1651">
      <c r="A1651" s="36"/>
      <c r="B1651" s="37">
        <v>51.24842246768048</v>
      </c>
    </row>
    <row r="1652">
      <c r="A1652" s="36"/>
      <c r="B1652" s="37">
        <v>28.228422467680474</v>
      </c>
    </row>
    <row r="1653">
      <c r="A1653" s="36"/>
      <c r="B1653" s="37">
        <v>33.49842246768048</v>
      </c>
    </row>
    <row r="1654">
      <c r="A1654" s="36"/>
      <c r="B1654" s="37">
        <v>35.74842246768048</v>
      </c>
    </row>
    <row r="1655">
      <c r="A1655" s="36"/>
      <c r="B1655" s="37">
        <v>64.37842246768047</v>
      </c>
    </row>
    <row r="1656">
      <c r="A1656" s="36"/>
      <c r="B1656" s="37">
        <v>13.818422467680474</v>
      </c>
    </row>
    <row r="1657">
      <c r="A1657" s="36"/>
      <c r="B1657" s="37">
        <v>37.55842246768047</v>
      </c>
    </row>
    <row r="1658">
      <c r="A1658" s="36"/>
      <c r="B1658" s="37">
        <v>32.81842246768048</v>
      </c>
    </row>
    <row r="1659">
      <c r="A1659" s="36"/>
      <c r="B1659" s="37">
        <v>26.898422467680476</v>
      </c>
    </row>
    <row r="1660">
      <c r="A1660" s="36"/>
      <c r="B1660" s="37">
        <v>10.608422467680473</v>
      </c>
    </row>
    <row r="1661">
      <c r="A1661" s="36"/>
      <c r="B1661" s="37">
        <v>14.918422467680474</v>
      </c>
    </row>
    <row r="1662">
      <c r="A1662" s="36"/>
      <c r="B1662" s="37">
        <v>31.538422467680476</v>
      </c>
    </row>
    <row r="1663">
      <c r="A1663" s="36"/>
      <c r="B1663" s="37">
        <v>37.60842246768048</v>
      </c>
    </row>
    <row r="1664">
      <c r="A1664" s="36"/>
      <c r="B1664" s="37">
        <v>17.248422467680474</v>
      </c>
    </row>
    <row r="1665">
      <c r="A1665" s="36"/>
      <c r="B1665" s="37">
        <v>10.878422467680473</v>
      </c>
    </row>
    <row r="1666">
      <c r="A1666" s="36"/>
      <c r="B1666" s="37">
        <v>9.668422467680474</v>
      </c>
    </row>
    <row r="1667">
      <c r="A1667" s="36"/>
      <c r="B1667" s="37">
        <v>52.20842246768048</v>
      </c>
    </row>
    <row r="1668">
      <c r="A1668" s="36"/>
      <c r="B1668" s="37">
        <v>54.938422467680475</v>
      </c>
    </row>
    <row r="1669">
      <c r="A1669" s="36"/>
      <c r="B1669" s="37">
        <v>10.248422467680474</v>
      </c>
    </row>
    <row r="1670">
      <c r="A1670" s="36"/>
      <c r="B1670" s="37">
        <v>12.808422467680472</v>
      </c>
    </row>
    <row r="1671">
      <c r="A1671" s="36"/>
      <c r="B1671" s="37">
        <v>17.018422467680473</v>
      </c>
    </row>
    <row r="1672">
      <c r="A1672" s="36"/>
      <c r="B1672" s="37">
        <v>9.408422467680474</v>
      </c>
    </row>
    <row r="1673">
      <c r="A1673" s="36"/>
      <c r="B1673" s="37">
        <v>9.578422467680474</v>
      </c>
    </row>
    <row r="1674">
      <c r="A1674" s="36"/>
      <c r="B1674" s="37">
        <v>12.568422467680474</v>
      </c>
    </row>
    <row r="1675">
      <c r="A1675" s="36"/>
      <c r="B1675" s="37">
        <v>9.628422467680473</v>
      </c>
    </row>
    <row r="1676">
      <c r="A1676" s="36"/>
      <c r="B1676" s="37">
        <v>56.31842246768048</v>
      </c>
    </row>
    <row r="1677">
      <c r="A1677" s="36"/>
      <c r="B1677" s="37">
        <v>1.3784224676804737</v>
      </c>
    </row>
    <row r="1678">
      <c r="A1678" s="36"/>
      <c r="B1678" s="37">
        <v>13.378422467680473</v>
      </c>
    </row>
    <row r="1679">
      <c r="A1679" s="36"/>
      <c r="B1679" s="37">
        <v>13.738422467680474</v>
      </c>
    </row>
    <row r="1680">
      <c r="A1680" s="36"/>
      <c r="B1680" s="37">
        <v>9.778422467680473</v>
      </c>
    </row>
    <row r="1681">
      <c r="A1681" s="36"/>
      <c r="B1681" s="37">
        <v>13.598422467680473</v>
      </c>
    </row>
    <row r="1682">
      <c r="A1682" s="36"/>
      <c r="B1682" s="37">
        <v>11.438422467680473</v>
      </c>
    </row>
    <row r="1683">
      <c r="A1683" s="36"/>
      <c r="B1683" s="37">
        <v>27.608422467680477</v>
      </c>
    </row>
    <row r="1684">
      <c r="A1684" s="36"/>
      <c r="B1684" s="37">
        <v>2.858422467680474</v>
      </c>
    </row>
    <row r="1685">
      <c r="A1685" s="36"/>
      <c r="B1685" s="37">
        <v>34.01842246768047</v>
      </c>
    </row>
    <row r="1686">
      <c r="A1686" s="36"/>
      <c r="B1686" s="37">
        <v>26.008422467680475</v>
      </c>
    </row>
    <row r="1687">
      <c r="A1687" s="36"/>
      <c r="B1687" s="37">
        <v>12.188422467680473</v>
      </c>
    </row>
    <row r="1688">
      <c r="A1688" s="36"/>
      <c r="B1688" s="37">
        <v>1.928422467680474</v>
      </c>
    </row>
    <row r="1689">
      <c r="A1689" s="36"/>
      <c r="B1689" s="37">
        <v>38.17842246768048</v>
      </c>
    </row>
    <row r="1690">
      <c r="A1690" s="36"/>
      <c r="B1690" s="37">
        <v>55.06842246768048</v>
      </c>
    </row>
    <row r="1691">
      <c r="A1691" s="36"/>
      <c r="B1691" s="37">
        <v>13.868422467680473</v>
      </c>
    </row>
    <row r="1692">
      <c r="A1692" s="36"/>
      <c r="B1692" s="37">
        <v>14.998422467680472</v>
      </c>
    </row>
    <row r="1693">
      <c r="A1693" s="36"/>
      <c r="B1693" s="37">
        <v>30.338422467680473</v>
      </c>
    </row>
    <row r="1694">
      <c r="A1694" s="36"/>
      <c r="B1694" s="37">
        <v>15.958422467680473</v>
      </c>
    </row>
    <row r="1695">
      <c r="A1695" s="36"/>
      <c r="B1695" s="37">
        <v>42.94842246768047</v>
      </c>
    </row>
    <row r="1696">
      <c r="A1696" s="36"/>
      <c r="B1696" s="37">
        <v>10.688422467680473</v>
      </c>
    </row>
    <row r="1697">
      <c r="A1697" s="36"/>
      <c r="B1697" s="37">
        <v>31.408422467680474</v>
      </c>
    </row>
    <row r="1698">
      <c r="A1698" s="36"/>
      <c r="B1698" s="37">
        <v>13.158422467680474</v>
      </c>
    </row>
    <row r="1699">
      <c r="A1699" s="36"/>
      <c r="B1699" s="37">
        <v>23.988422467680476</v>
      </c>
    </row>
    <row r="1700">
      <c r="A1700" s="36"/>
      <c r="B1700" s="37">
        <v>32.41842246768047</v>
      </c>
    </row>
    <row r="1701">
      <c r="A1701" s="36"/>
      <c r="B1701" s="37">
        <v>18.228422467680474</v>
      </c>
    </row>
    <row r="1702">
      <c r="A1702" s="36"/>
      <c r="B1702" s="37">
        <v>42.52842246768048</v>
      </c>
    </row>
    <row r="1703">
      <c r="A1703" s="36"/>
      <c r="B1703" s="37">
        <v>36.67842246768048</v>
      </c>
    </row>
    <row r="1704">
      <c r="A1704" s="36"/>
      <c r="B1704" s="37">
        <v>32.94842246768047</v>
      </c>
    </row>
    <row r="1705">
      <c r="A1705" s="36"/>
      <c r="B1705" s="37">
        <v>10.718422467680472</v>
      </c>
    </row>
    <row r="1706">
      <c r="A1706" s="36"/>
      <c r="B1706" s="37">
        <v>30.478422467680474</v>
      </c>
    </row>
    <row r="1707">
      <c r="A1707" s="36"/>
      <c r="B1707" s="37">
        <v>13.088422467680473</v>
      </c>
    </row>
    <row r="1708">
      <c r="A1708" s="36"/>
      <c r="B1708" s="37">
        <v>14.418422467680474</v>
      </c>
    </row>
    <row r="1709">
      <c r="A1709" s="36"/>
      <c r="B1709" s="37">
        <v>15.828422467680474</v>
      </c>
    </row>
    <row r="1710">
      <c r="A1710" s="36"/>
      <c r="B1710" s="37">
        <v>15.298422467680473</v>
      </c>
    </row>
    <row r="1711">
      <c r="A1711" s="36"/>
      <c r="B1711" s="37">
        <v>12.298422467680473</v>
      </c>
    </row>
    <row r="1712">
      <c r="A1712" s="36"/>
      <c r="B1712" s="37">
        <v>37.73842246768047</v>
      </c>
    </row>
    <row r="1713">
      <c r="A1713" s="36"/>
      <c r="B1713" s="37">
        <v>13.138422467680472</v>
      </c>
    </row>
    <row r="1714">
      <c r="A1714" s="36"/>
      <c r="B1714" s="37">
        <v>15.748422467680472</v>
      </c>
    </row>
    <row r="1715">
      <c r="A1715" s="36"/>
      <c r="B1715" s="37">
        <v>54.67842246768048</v>
      </c>
    </row>
    <row r="1716">
      <c r="A1716" s="36"/>
      <c r="B1716" s="37">
        <v>67.58842246768047</v>
      </c>
    </row>
    <row r="1717">
      <c r="A1717" s="36"/>
      <c r="B1717" s="37">
        <v>38.038422467680476</v>
      </c>
    </row>
    <row r="1718">
      <c r="A1718" s="36"/>
      <c r="B1718" s="37">
        <v>11.308422467680472</v>
      </c>
    </row>
    <row r="1719">
      <c r="A1719" s="36"/>
      <c r="B1719" s="37">
        <v>25.958422467680474</v>
      </c>
    </row>
    <row r="1720">
      <c r="A1720" s="36"/>
      <c r="B1720" s="37">
        <v>2.608422467680474</v>
      </c>
    </row>
    <row r="1721">
      <c r="A1721" s="36"/>
      <c r="B1721" s="37">
        <v>12.958422467680473</v>
      </c>
    </row>
    <row r="1722">
      <c r="A1722" s="36"/>
      <c r="B1722" s="37">
        <v>39.828422467680475</v>
      </c>
    </row>
    <row r="1723">
      <c r="A1723" s="36"/>
      <c r="B1723" s="37">
        <v>14.618422467680473</v>
      </c>
    </row>
    <row r="1724">
      <c r="A1724" s="36"/>
      <c r="B1724" s="37">
        <v>17.828422467680475</v>
      </c>
    </row>
    <row r="1725">
      <c r="A1725" s="36"/>
      <c r="B1725" s="37">
        <v>15.028422467680473</v>
      </c>
    </row>
    <row r="1726">
      <c r="A1726" s="36"/>
      <c r="B1726" s="37">
        <v>37.85842246768048</v>
      </c>
    </row>
    <row r="1727">
      <c r="A1727" s="36"/>
      <c r="B1727" s="37">
        <v>10.728422467680472</v>
      </c>
    </row>
    <row r="1728">
      <c r="A1728" s="36"/>
      <c r="B1728" s="37">
        <v>10.898422467680474</v>
      </c>
    </row>
    <row r="1729">
      <c r="A1729" s="36"/>
      <c r="B1729" s="37">
        <v>35.44842246768047</v>
      </c>
    </row>
    <row r="1730">
      <c r="A1730" s="36"/>
      <c r="B1730" s="37">
        <v>52.728422467680474</v>
      </c>
    </row>
    <row r="1731">
      <c r="A1731" s="36"/>
      <c r="B1731" s="37">
        <v>2.988422467680474</v>
      </c>
    </row>
    <row r="1732">
      <c r="A1732" s="36"/>
      <c r="B1732" s="37">
        <v>51.51842246768047</v>
      </c>
    </row>
    <row r="1733">
      <c r="A1733" s="36"/>
      <c r="B1733" s="37">
        <v>32.218422467680476</v>
      </c>
    </row>
    <row r="1734">
      <c r="A1734" s="36"/>
      <c r="B1734" s="37">
        <v>30.988422467680472</v>
      </c>
    </row>
    <row r="1735">
      <c r="A1735" s="36"/>
      <c r="B1735" s="37">
        <v>9.548422467680473</v>
      </c>
    </row>
    <row r="1736">
      <c r="A1736" s="36"/>
      <c r="B1736" s="37">
        <v>37.478422467680474</v>
      </c>
    </row>
    <row r="1737">
      <c r="A1737" s="36"/>
      <c r="B1737" s="37">
        <v>66.80842246768047</v>
      </c>
    </row>
    <row r="1738">
      <c r="A1738" s="36"/>
      <c r="B1738" s="37">
        <v>10.358422467680473</v>
      </c>
    </row>
    <row r="1739">
      <c r="A1739" s="36"/>
      <c r="B1739" s="37">
        <v>50.58842246768047</v>
      </c>
    </row>
    <row r="1740">
      <c r="A1740" s="36"/>
      <c r="B1740" s="37">
        <v>9.688422467680473</v>
      </c>
    </row>
    <row r="1741">
      <c r="A1741" s="36"/>
      <c r="B1741" s="37">
        <v>10.908422467680474</v>
      </c>
    </row>
    <row r="1742">
      <c r="A1742" s="36"/>
      <c r="B1742" s="37">
        <v>9.828422467680474</v>
      </c>
    </row>
    <row r="1743">
      <c r="A1743" s="36"/>
      <c r="B1743" s="37">
        <v>29.828422467680475</v>
      </c>
    </row>
    <row r="1744">
      <c r="A1744" s="36"/>
      <c r="B1744" s="37">
        <v>27.688422467680475</v>
      </c>
    </row>
    <row r="1745">
      <c r="A1745" s="36"/>
      <c r="B1745" s="37">
        <v>9.408422467680474</v>
      </c>
    </row>
    <row r="1746">
      <c r="A1746" s="36"/>
      <c r="B1746" s="37">
        <v>12.408422467680474</v>
      </c>
    </row>
    <row r="1747">
      <c r="A1747" s="36"/>
      <c r="B1747" s="37">
        <v>13.348422467680473</v>
      </c>
    </row>
    <row r="1748">
      <c r="A1748" s="36"/>
      <c r="B1748" s="37">
        <v>9.748422467680474</v>
      </c>
    </row>
    <row r="1749">
      <c r="A1749" s="36"/>
      <c r="B1749" s="37">
        <v>1.138422467680474</v>
      </c>
    </row>
    <row r="1750">
      <c r="A1750" s="36"/>
      <c r="B1750" s="37">
        <v>38.218422467680476</v>
      </c>
    </row>
    <row r="1751">
      <c r="A1751" s="36"/>
      <c r="B1751" s="37">
        <v>20.288422467680476</v>
      </c>
    </row>
    <row r="1752">
      <c r="A1752" s="36"/>
      <c r="B1752" s="37">
        <v>48.258422467680475</v>
      </c>
    </row>
    <row r="1753">
      <c r="A1753" s="36"/>
      <c r="B1753" s="37">
        <v>13.858422467680473</v>
      </c>
    </row>
    <row r="1754">
      <c r="A1754" s="36"/>
      <c r="B1754" s="37">
        <v>6.098422467680474</v>
      </c>
    </row>
    <row r="1755">
      <c r="A1755" s="36"/>
      <c r="B1755" s="37">
        <v>13.348422467680473</v>
      </c>
    </row>
    <row r="1756">
      <c r="A1756" s="36"/>
      <c r="B1756" s="37">
        <v>31.318422467680477</v>
      </c>
    </row>
    <row r="1757">
      <c r="A1757" s="36"/>
      <c r="B1757" s="37">
        <v>11.868422467680473</v>
      </c>
    </row>
    <row r="1758">
      <c r="A1758" s="36"/>
      <c r="B1758" s="37">
        <v>9.428422467680473</v>
      </c>
    </row>
    <row r="1759">
      <c r="A1759" s="36"/>
      <c r="B1759" s="37">
        <v>14.478422467680472</v>
      </c>
    </row>
    <row r="1760">
      <c r="A1760" s="36"/>
      <c r="B1760" s="37">
        <v>68.76842246768047</v>
      </c>
    </row>
    <row r="1761">
      <c r="A1761" s="36"/>
      <c r="B1761" s="37">
        <v>13.378422467680473</v>
      </c>
    </row>
    <row r="1762">
      <c r="A1762" s="36"/>
      <c r="B1762" s="37">
        <v>13.618422467680473</v>
      </c>
    </row>
    <row r="1763">
      <c r="A1763" s="36"/>
      <c r="B1763" s="37">
        <v>24.508422467680475</v>
      </c>
    </row>
    <row r="1764">
      <c r="A1764" s="36"/>
      <c r="B1764" s="37">
        <v>33.91842246768047</v>
      </c>
    </row>
    <row r="1765">
      <c r="A1765" s="36"/>
      <c r="B1765" s="37">
        <v>13.188422467680473</v>
      </c>
    </row>
    <row r="1766">
      <c r="A1766" s="36"/>
      <c r="B1766" s="37">
        <v>9.668422467680474</v>
      </c>
    </row>
    <row r="1767">
      <c r="A1767" s="36"/>
      <c r="B1767" s="37">
        <v>46.05842246768047</v>
      </c>
    </row>
    <row r="1768">
      <c r="A1768" s="36"/>
      <c r="B1768" s="37">
        <v>72.89842246768046</v>
      </c>
    </row>
    <row r="1769">
      <c r="A1769" s="36"/>
      <c r="B1769" s="37">
        <v>71.85842246768047</v>
      </c>
    </row>
    <row r="1770">
      <c r="A1770" s="36"/>
      <c r="B1770" s="37">
        <v>14.798422467680473</v>
      </c>
    </row>
    <row r="1771">
      <c r="A1771" s="36"/>
      <c r="B1771" s="37">
        <v>13.858422467680473</v>
      </c>
    </row>
    <row r="1772">
      <c r="A1772" s="36"/>
      <c r="B1772" s="37">
        <v>75.14842246768046</v>
      </c>
    </row>
    <row r="1773">
      <c r="A1773" s="36"/>
      <c r="B1773" s="37">
        <v>51.87842246768047</v>
      </c>
    </row>
    <row r="1774">
      <c r="A1774" s="36"/>
      <c r="B1774" s="37">
        <v>28.088422467680473</v>
      </c>
    </row>
    <row r="1775">
      <c r="A1775" s="36"/>
      <c r="B1775" s="37">
        <v>2.6184224676804737</v>
      </c>
    </row>
    <row r="1776">
      <c r="A1776" s="36"/>
      <c r="B1776" s="37">
        <v>11.458422467680473</v>
      </c>
    </row>
    <row r="1777">
      <c r="A1777" s="36"/>
      <c r="B1777" s="37">
        <v>3.848422467680474</v>
      </c>
    </row>
    <row r="1778">
      <c r="A1778" s="36"/>
      <c r="B1778" s="37">
        <v>9.428422467680473</v>
      </c>
    </row>
    <row r="1779">
      <c r="A1779" s="36"/>
      <c r="B1779" s="37">
        <v>30.808422467680476</v>
      </c>
    </row>
    <row r="1780">
      <c r="A1780" s="36"/>
      <c r="B1780" s="37">
        <v>18.418422467680475</v>
      </c>
    </row>
    <row r="1781">
      <c r="A1781" s="36"/>
      <c r="B1781" s="37">
        <v>31.378422467680473</v>
      </c>
    </row>
    <row r="1782">
      <c r="A1782" s="36"/>
      <c r="B1782" s="37">
        <v>10.258422467680473</v>
      </c>
    </row>
    <row r="1783">
      <c r="A1783" s="36"/>
      <c r="B1783" s="37">
        <v>12.488422467680474</v>
      </c>
    </row>
    <row r="1784">
      <c r="A1784" s="36"/>
      <c r="B1784" s="37">
        <v>29.678422467680473</v>
      </c>
    </row>
    <row r="1785">
      <c r="A1785" s="36"/>
      <c r="B1785" s="37">
        <v>17.588422467680473</v>
      </c>
    </row>
    <row r="1786">
      <c r="A1786" s="36"/>
      <c r="B1786" s="37">
        <v>10.848422467680473</v>
      </c>
    </row>
    <row r="1787">
      <c r="A1787" s="36"/>
      <c r="B1787" s="37">
        <v>18.458422467680474</v>
      </c>
    </row>
    <row r="1788">
      <c r="A1788" s="36"/>
      <c r="B1788" s="37">
        <v>19.268422467680473</v>
      </c>
    </row>
    <row r="1789">
      <c r="A1789" s="36"/>
      <c r="B1789" s="37">
        <v>27.108422467680477</v>
      </c>
    </row>
    <row r="1790">
      <c r="A1790" s="36"/>
      <c r="B1790" s="37">
        <v>13.518422467680473</v>
      </c>
    </row>
    <row r="1791">
      <c r="A1791" s="36"/>
      <c r="B1791" s="37">
        <v>23.928422467680473</v>
      </c>
    </row>
    <row r="1792">
      <c r="A1792" s="36"/>
      <c r="B1792" s="37">
        <v>11.118422467680473</v>
      </c>
    </row>
    <row r="1793">
      <c r="A1793" s="36"/>
      <c r="B1793" s="37">
        <v>38.478422467680474</v>
      </c>
    </row>
    <row r="1794">
      <c r="A1794" s="36"/>
      <c r="B1794" s="37">
        <v>15.988422467680474</v>
      </c>
    </row>
    <row r="1795">
      <c r="A1795" s="36"/>
      <c r="B1795" s="37">
        <v>13.198422467680473</v>
      </c>
    </row>
    <row r="1796">
      <c r="A1796" s="36"/>
      <c r="B1796" s="37">
        <v>9.478422467680472</v>
      </c>
    </row>
    <row r="1797">
      <c r="A1797" s="36"/>
      <c r="B1797" s="37">
        <v>17.968422467680476</v>
      </c>
    </row>
    <row r="1798">
      <c r="A1798" s="36"/>
      <c r="B1798" s="37">
        <v>13.088422467680473</v>
      </c>
    </row>
    <row r="1799">
      <c r="A1799" s="36"/>
      <c r="B1799" s="37">
        <v>13.128422467680473</v>
      </c>
    </row>
    <row r="1800">
      <c r="A1800" s="36"/>
      <c r="B1800" s="37">
        <v>15.978422467680472</v>
      </c>
    </row>
    <row r="1801">
      <c r="A1801" s="36"/>
      <c r="B1801" s="37">
        <v>9.538422467680473</v>
      </c>
    </row>
    <row r="1802">
      <c r="A1802" s="36"/>
      <c r="B1802" s="37">
        <v>11.668422467680474</v>
      </c>
    </row>
    <row r="1803">
      <c r="A1803" s="36"/>
      <c r="B1803" s="37">
        <v>33.87842246768047</v>
      </c>
    </row>
    <row r="1804">
      <c r="A1804" s="36"/>
      <c r="B1804" s="37">
        <v>62.13842246768048</v>
      </c>
    </row>
    <row r="1805">
      <c r="A1805" s="36"/>
      <c r="B1805" s="37">
        <v>17.388422467680474</v>
      </c>
    </row>
    <row r="1806">
      <c r="A1806" s="36"/>
      <c r="B1806" s="37">
        <v>26.468422467680476</v>
      </c>
    </row>
    <row r="1807">
      <c r="A1807" s="36"/>
      <c r="B1807" s="37">
        <v>18.218422467680476</v>
      </c>
    </row>
    <row r="1808">
      <c r="A1808" s="36"/>
      <c r="B1808" s="37">
        <v>30.608422467680477</v>
      </c>
    </row>
    <row r="1809">
      <c r="A1809" s="36"/>
      <c r="B1809" s="37">
        <v>11.958422467680473</v>
      </c>
    </row>
    <row r="1810">
      <c r="A1810" s="36"/>
      <c r="B1810" s="37">
        <v>4.148422467680474</v>
      </c>
    </row>
    <row r="1811">
      <c r="A1811" s="36"/>
      <c r="B1811" s="37">
        <v>2.028422467680474</v>
      </c>
    </row>
    <row r="1812">
      <c r="A1812" s="36"/>
      <c r="B1812" s="37">
        <v>22.448422467680476</v>
      </c>
    </row>
    <row r="1813">
      <c r="A1813" s="36"/>
      <c r="B1813" s="37">
        <v>32.798422467680474</v>
      </c>
    </row>
    <row r="1814">
      <c r="A1814" s="36"/>
      <c r="B1814" s="37">
        <v>18.738422467680476</v>
      </c>
    </row>
    <row r="1815">
      <c r="A1815" s="36"/>
      <c r="B1815" s="37">
        <v>45.158422467680474</v>
      </c>
    </row>
    <row r="1816">
      <c r="A1816" s="36"/>
      <c r="B1816" s="37">
        <v>50.84842246768047</v>
      </c>
    </row>
    <row r="1817">
      <c r="A1817" s="36"/>
      <c r="B1817" s="37">
        <v>68.56842246768046</v>
      </c>
    </row>
    <row r="1818">
      <c r="A1818" s="36"/>
      <c r="B1818" s="37">
        <v>17.368422467680475</v>
      </c>
    </row>
    <row r="1819">
      <c r="A1819" s="36"/>
      <c r="B1819" s="37">
        <v>42.67842246768048</v>
      </c>
    </row>
    <row r="1820">
      <c r="A1820" s="36"/>
      <c r="B1820" s="37">
        <v>28.968422467680476</v>
      </c>
    </row>
    <row r="1821">
      <c r="A1821" s="36"/>
      <c r="B1821" s="37">
        <v>59.468422467680476</v>
      </c>
    </row>
    <row r="1822">
      <c r="A1822" s="36"/>
      <c r="B1822" s="37">
        <v>24.318422467680474</v>
      </c>
    </row>
    <row r="1823">
      <c r="A1823" s="36"/>
      <c r="B1823" s="37">
        <v>14.818422467680474</v>
      </c>
    </row>
    <row r="1824">
      <c r="A1824" s="36"/>
      <c r="B1824" s="37">
        <v>13.118422467680473</v>
      </c>
    </row>
    <row r="1825">
      <c r="A1825" s="36"/>
      <c r="B1825" s="37">
        <v>35.258422467680475</v>
      </c>
    </row>
    <row r="1826">
      <c r="A1826" s="36"/>
      <c r="B1826" s="37">
        <v>2.2484224676804736</v>
      </c>
    </row>
    <row r="1827">
      <c r="A1827" s="36"/>
      <c r="B1827" s="37">
        <v>63.78842246768047</v>
      </c>
    </row>
    <row r="1828">
      <c r="A1828" s="36"/>
      <c r="B1828" s="37">
        <v>0.8984224676804737</v>
      </c>
    </row>
    <row r="1829">
      <c r="A1829" s="36"/>
      <c r="B1829" s="37">
        <v>30.188422467680475</v>
      </c>
    </row>
    <row r="1830">
      <c r="A1830" s="36"/>
      <c r="B1830" s="37">
        <v>15.878422467680474</v>
      </c>
    </row>
    <row r="1831">
      <c r="A1831" s="36"/>
      <c r="B1831" s="37">
        <v>11.028422467680473</v>
      </c>
    </row>
    <row r="1832">
      <c r="A1832" s="36"/>
      <c r="B1832" s="37">
        <v>29.578422467680475</v>
      </c>
    </row>
    <row r="1833">
      <c r="A1833" s="36"/>
      <c r="B1833" s="37">
        <v>17.588422467680473</v>
      </c>
    </row>
    <row r="1834">
      <c r="A1834" s="36"/>
      <c r="B1834" s="37">
        <v>30.278422467680475</v>
      </c>
    </row>
    <row r="1835">
      <c r="A1835" s="36"/>
      <c r="B1835" s="37">
        <v>0.8784224676804737</v>
      </c>
    </row>
    <row r="1836">
      <c r="A1836" s="36"/>
      <c r="B1836" s="37">
        <v>12.238422467680474</v>
      </c>
    </row>
    <row r="1837">
      <c r="A1837" s="36"/>
      <c r="B1837" s="37">
        <v>11.538422467680473</v>
      </c>
    </row>
    <row r="1838">
      <c r="A1838" s="36"/>
      <c r="B1838" s="37">
        <v>12.838422467680473</v>
      </c>
    </row>
    <row r="1839">
      <c r="A1839" s="36"/>
      <c r="B1839" s="37">
        <v>14.138422467680472</v>
      </c>
    </row>
    <row r="1840">
      <c r="A1840" s="36"/>
      <c r="B1840" s="37">
        <v>36.158422467680474</v>
      </c>
    </row>
    <row r="1841">
      <c r="A1841" s="36"/>
      <c r="B1841" s="37">
        <v>1.2184224676804736</v>
      </c>
    </row>
    <row r="1842">
      <c r="A1842" s="36"/>
      <c r="B1842" s="37">
        <v>19.528422467680475</v>
      </c>
    </row>
    <row r="1843">
      <c r="A1843" s="36"/>
      <c r="B1843" s="37">
        <v>15.328422467680474</v>
      </c>
    </row>
    <row r="1844">
      <c r="A1844" s="36"/>
      <c r="B1844" s="37">
        <v>21.378422467680476</v>
      </c>
    </row>
    <row r="1845">
      <c r="A1845" s="36"/>
      <c r="B1845" s="37">
        <v>30.178422467680473</v>
      </c>
    </row>
    <row r="1846">
      <c r="A1846" s="36"/>
      <c r="B1846" s="37">
        <v>28.168422467680475</v>
      </c>
    </row>
    <row r="1847">
      <c r="A1847" s="36"/>
      <c r="B1847" s="37">
        <v>75.63842246768047</v>
      </c>
    </row>
    <row r="1848">
      <c r="A1848" s="36"/>
      <c r="B1848" s="37">
        <v>42.55842246768047</v>
      </c>
    </row>
    <row r="1849">
      <c r="A1849" s="36"/>
      <c r="B1849" s="37">
        <v>29.798422467680474</v>
      </c>
    </row>
    <row r="1850">
      <c r="A1850" s="36"/>
      <c r="B1850" s="37">
        <v>39.55842246768047</v>
      </c>
    </row>
    <row r="1851">
      <c r="A1851" s="36"/>
      <c r="B1851" s="37">
        <v>10.938422467680473</v>
      </c>
    </row>
    <row r="1852">
      <c r="A1852" s="36"/>
      <c r="B1852" s="37">
        <v>24.718422467680476</v>
      </c>
    </row>
    <row r="1853">
      <c r="A1853" s="36"/>
      <c r="B1853" s="37">
        <v>9.508422467680473</v>
      </c>
    </row>
    <row r="1854">
      <c r="A1854" s="36"/>
      <c r="B1854" s="37">
        <v>18.538422467680476</v>
      </c>
    </row>
    <row r="1855">
      <c r="A1855" s="36"/>
      <c r="B1855" s="37">
        <v>9.868422467680473</v>
      </c>
    </row>
    <row r="1856">
      <c r="A1856" s="36"/>
      <c r="B1856" s="37">
        <v>11.618422467680473</v>
      </c>
    </row>
    <row r="1857">
      <c r="A1857" s="36"/>
      <c r="B1857" s="37">
        <v>14.168422467680474</v>
      </c>
    </row>
    <row r="1858">
      <c r="A1858" s="36"/>
      <c r="B1858" s="37">
        <v>10.788422467680473</v>
      </c>
    </row>
    <row r="1859">
      <c r="A1859" s="36"/>
      <c r="B1859" s="37">
        <v>20.508422467680475</v>
      </c>
    </row>
    <row r="1860">
      <c r="A1860" s="36"/>
      <c r="B1860" s="37">
        <v>14.388422467680472</v>
      </c>
    </row>
    <row r="1861">
      <c r="A1861" s="36"/>
      <c r="B1861" s="37">
        <v>40.898422467680476</v>
      </c>
    </row>
    <row r="1862">
      <c r="A1862" s="36"/>
      <c r="B1862" s="37">
        <v>13.408422467680474</v>
      </c>
    </row>
    <row r="1863">
      <c r="A1863" s="36"/>
      <c r="B1863" s="37">
        <v>78.40842246768047</v>
      </c>
    </row>
    <row r="1864">
      <c r="A1864" s="36"/>
      <c r="B1864" s="37">
        <v>20.468422467680476</v>
      </c>
    </row>
    <row r="1865">
      <c r="A1865" s="36"/>
      <c r="B1865" s="37">
        <v>0.9884224676804736</v>
      </c>
    </row>
    <row r="1866">
      <c r="A1866" s="36"/>
      <c r="B1866" s="37">
        <v>9.868422467680473</v>
      </c>
    </row>
    <row r="1867">
      <c r="A1867" s="36"/>
      <c r="B1867" s="37">
        <v>26.568422467680474</v>
      </c>
    </row>
    <row r="1868">
      <c r="A1868" s="36"/>
      <c r="B1868" s="37">
        <v>52.718422467680476</v>
      </c>
    </row>
    <row r="1869">
      <c r="A1869" s="36"/>
      <c r="B1869" s="37">
        <v>27.088422467680473</v>
      </c>
    </row>
    <row r="1870">
      <c r="A1870" s="36"/>
      <c r="B1870" s="37">
        <v>13.358422467680473</v>
      </c>
    </row>
    <row r="1871">
      <c r="A1871" s="36"/>
      <c r="B1871" s="37">
        <v>30.088422467680473</v>
      </c>
    </row>
    <row r="1872">
      <c r="A1872" s="36"/>
      <c r="B1872" s="37">
        <v>41.83842246768047</v>
      </c>
    </row>
    <row r="1873">
      <c r="A1873" s="36"/>
      <c r="B1873" s="37">
        <v>36.31842246768048</v>
      </c>
    </row>
    <row r="1874">
      <c r="A1874" s="36"/>
      <c r="B1874" s="37">
        <v>13.718422467680472</v>
      </c>
    </row>
    <row r="1875">
      <c r="A1875" s="36"/>
      <c r="B1875" s="37">
        <v>31.608422467680477</v>
      </c>
    </row>
    <row r="1876">
      <c r="A1876" s="36"/>
      <c r="B1876" s="37">
        <v>1.868422467680474</v>
      </c>
    </row>
    <row r="1877">
      <c r="A1877" s="36"/>
      <c r="B1877" s="37">
        <v>67.78842246768046</v>
      </c>
    </row>
    <row r="1878">
      <c r="A1878" s="36"/>
      <c r="B1878" s="37">
        <v>9.258422467680473</v>
      </c>
    </row>
    <row r="1879">
      <c r="A1879" s="36"/>
      <c r="B1879" s="37">
        <v>58.258422467680475</v>
      </c>
    </row>
    <row r="1880">
      <c r="A1880" s="36"/>
      <c r="B1880" s="37">
        <v>12.938422467680473</v>
      </c>
    </row>
    <row r="1881">
      <c r="A1881" s="36"/>
      <c r="B1881" s="37">
        <v>30.398422467680476</v>
      </c>
    </row>
    <row r="1882">
      <c r="A1882" s="36"/>
      <c r="B1882" s="37">
        <v>26.288422467680476</v>
      </c>
    </row>
    <row r="1883">
      <c r="A1883" s="36"/>
      <c r="B1883" s="37">
        <v>26.258422467680475</v>
      </c>
    </row>
    <row r="1884">
      <c r="A1884" s="36"/>
      <c r="B1884" s="37">
        <v>23.868422467680475</v>
      </c>
    </row>
    <row r="1885">
      <c r="A1885" s="36"/>
      <c r="B1885" s="37">
        <v>15.828422467680474</v>
      </c>
    </row>
    <row r="1886">
      <c r="A1886" s="36"/>
      <c r="B1886" s="37">
        <v>13.648422467680474</v>
      </c>
    </row>
    <row r="1887">
      <c r="A1887" s="36"/>
      <c r="B1887" s="37">
        <v>13.898422467680474</v>
      </c>
    </row>
    <row r="1888">
      <c r="A1888" s="36"/>
      <c r="B1888" s="37">
        <v>10.648422467680474</v>
      </c>
    </row>
    <row r="1889">
      <c r="A1889" s="36"/>
      <c r="B1889" s="37">
        <v>25.558422467680476</v>
      </c>
    </row>
    <row r="1890">
      <c r="A1890" s="36"/>
      <c r="B1890" s="37">
        <v>13.718422467680472</v>
      </c>
    </row>
    <row r="1891">
      <c r="A1891" s="36"/>
      <c r="B1891" s="37">
        <v>9.928422467680473</v>
      </c>
    </row>
    <row r="1892">
      <c r="A1892" s="36"/>
      <c r="B1892" s="37">
        <v>13.198422467680473</v>
      </c>
    </row>
    <row r="1893">
      <c r="A1893" s="36"/>
      <c r="B1893" s="37">
        <v>24.278422467680475</v>
      </c>
    </row>
    <row r="1894">
      <c r="A1894" s="36"/>
      <c r="B1894" s="37">
        <v>4.298422467680474</v>
      </c>
    </row>
    <row r="1895">
      <c r="A1895" s="36"/>
      <c r="B1895" s="37">
        <v>51.728422467680474</v>
      </c>
    </row>
    <row r="1896">
      <c r="A1896" s="36"/>
      <c r="B1896" s="37">
        <v>11.198422467680473</v>
      </c>
    </row>
    <row r="1897">
      <c r="A1897" s="36"/>
      <c r="B1897" s="37">
        <v>24.948422467680476</v>
      </c>
    </row>
    <row r="1898">
      <c r="A1898" s="36"/>
      <c r="B1898" s="37">
        <v>10.748422467680474</v>
      </c>
    </row>
    <row r="1899">
      <c r="A1899" s="36"/>
      <c r="B1899" s="37">
        <v>32.258422467680475</v>
      </c>
    </row>
    <row r="1900">
      <c r="A1900" s="36"/>
      <c r="B1900" s="37">
        <v>11.068422467680474</v>
      </c>
    </row>
    <row r="1901">
      <c r="A1901" s="36"/>
      <c r="B1901" s="37">
        <v>12.158422467680474</v>
      </c>
    </row>
    <row r="1902">
      <c r="A1902" s="36"/>
      <c r="B1902" s="37">
        <v>9.178422467680473</v>
      </c>
    </row>
    <row r="1903">
      <c r="A1903" s="36"/>
      <c r="B1903" s="37">
        <v>9.198422467680473</v>
      </c>
    </row>
    <row r="1904">
      <c r="A1904" s="36"/>
      <c r="B1904" s="37">
        <v>26.128422467680476</v>
      </c>
    </row>
    <row r="1905">
      <c r="A1905" s="36"/>
      <c r="B1905" s="37">
        <v>14.178422467680473</v>
      </c>
    </row>
    <row r="1906">
      <c r="A1906" s="36"/>
      <c r="B1906" s="37">
        <v>26.358422467680477</v>
      </c>
    </row>
    <row r="1907">
      <c r="A1907" s="36"/>
      <c r="B1907" s="37">
        <v>28.718422467680476</v>
      </c>
    </row>
    <row r="1908">
      <c r="A1908" s="36"/>
      <c r="B1908" s="37">
        <v>9.378422467680473</v>
      </c>
    </row>
    <row r="1909">
      <c r="A1909" s="36"/>
      <c r="B1909" s="37">
        <v>11.068422467680474</v>
      </c>
    </row>
    <row r="1910">
      <c r="A1910" s="36"/>
      <c r="B1910" s="37">
        <v>10.578422467680474</v>
      </c>
    </row>
    <row r="1911">
      <c r="A1911" s="36"/>
      <c r="B1911" s="37">
        <v>10.388422467680472</v>
      </c>
    </row>
    <row r="1912">
      <c r="A1912" s="36"/>
      <c r="B1912" s="37">
        <v>19.168422467680475</v>
      </c>
    </row>
    <row r="1913">
      <c r="A1913" s="36"/>
      <c r="B1913" s="37">
        <v>13.058422467680472</v>
      </c>
    </row>
    <row r="1914">
      <c r="A1914" s="36"/>
      <c r="B1914" s="37">
        <v>34.158422467680474</v>
      </c>
    </row>
    <row r="1915">
      <c r="A1915" s="36"/>
      <c r="B1915" s="37">
        <v>47.98842246768047</v>
      </c>
    </row>
    <row r="1916">
      <c r="A1916" s="36"/>
      <c r="B1916" s="37">
        <v>12.638422467680472</v>
      </c>
    </row>
    <row r="1917">
      <c r="A1917" s="36"/>
      <c r="B1917" s="37">
        <v>26.098422467680475</v>
      </c>
    </row>
    <row r="1918">
      <c r="A1918" s="36"/>
      <c r="B1918" s="37">
        <v>11.608422467680473</v>
      </c>
    </row>
    <row r="1919">
      <c r="A1919" s="36"/>
      <c r="B1919" s="37">
        <v>8.398422467680474</v>
      </c>
    </row>
    <row r="1920">
      <c r="A1920" s="36"/>
      <c r="B1920" s="37">
        <v>12.998422467680474</v>
      </c>
    </row>
    <row r="1921">
      <c r="A1921" s="36"/>
      <c r="B1921" s="37">
        <v>17.218422467680476</v>
      </c>
    </row>
    <row r="1922">
      <c r="A1922" s="36"/>
      <c r="B1922" s="37">
        <v>30.608422467680477</v>
      </c>
    </row>
    <row r="1923">
      <c r="A1923" s="36"/>
      <c r="B1923" s="37">
        <v>21.118422467680475</v>
      </c>
    </row>
    <row r="1924">
      <c r="A1924" s="36"/>
      <c r="B1924" s="37">
        <v>23.668422467680475</v>
      </c>
    </row>
    <row r="1925">
      <c r="A1925" s="36"/>
      <c r="B1925" s="37">
        <v>15.188422467680473</v>
      </c>
    </row>
    <row r="1926">
      <c r="A1926" s="36"/>
      <c r="B1926" s="37">
        <v>25.438422467680475</v>
      </c>
    </row>
    <row r="1927">
      <c r="A1927" s="36"/>
      <c r="B1927" s="37">
        <v>31.638422467680478</v>
      </c>
    </row>
    <row r="1928">
      <c r="A1928" s="36"/>
      <c r="B1928" s="37">
        <v>10.308422467680472</v>
      </c>
    </row>
    <row r="1929">
      <c r="A1929" s="36"/>
      <c r="B1929" s="37">
        <v>75.00842246768046</v>
      </c>
    </row>
    <row r="1930">
      <c r="A1930" s="36"/>
      <c r="B1930" s="37">
        <v>14.658422467680474</v>
      </c>
    </row>
    <row r="1931">
      <c r="A1931" s="36"/>
      <c r="B1931" s="37">
        <v>9.568422467680474</v>
      </c>
    </row>
    <row r="1932">
      <c r="A1932" s="36"/>
      <c r="B1932" s="37">
        <v>43.978422467680474</v>
      </c>
    </row>
    <row r="1933">
      <c r="A1933" s="36"/>
      <c r="B1933" s="37">
        <v>21.758422467680475</v>
      </c>
    </row>
    <row r="1934">
      <c r="A1934" s="36"/>
      <c r="B1934" s="37">
        <v>26.948422467680476</v>
      </c>
    </row>
    <row r="1935">
      <c r="A1935" s="36"/>
      <c r="B1935" s="37">
        <v>25.338422467680473</v>
      </c>
    </row>
    <row r="1936">
      <c r="A1936" s="36"/>
      <c r="B1936" s="37">
        <v>9.178422467680473</v>
      </c>
    </row>
    <row r="1937">
      <c r="A1937" s="36"/>
      <c r="B1937" s="37">
        <v>29.358422467680477</v>
      </c>
    </row>
    <row r="1938">
      <c r="A1938" s="36"/>
      <c r="B1938" s="37">
        <v>9.468422467680472</v>
      </c>
    </row>
    <row r="1939">
      <c r="A1939" s="36"/>
      <c r="B1939" s="37">
        <v>5.718422467680474</v>
      </c>
    </row>
    <row r="1940">
      <c r="A1940" s="36"/>
      <c r="B1940" s="37">
        <v>22.408422467680474</v>
      </c>
    </row>
    <row r="1941">
      <c r="A1941" s="36"/>
      <c r="B1941" s="37">
        <v>12.558422467680472</v>
      </c>
    </row>
    <row r="1942">
      <c r="A1942" s="36"/>
      <c r="B1942" s="37">
        <v>1.868422467680474</v>
      </c>
    </row>
    <row r="1943">
      <c r="A1943" s="36"/>
      <c r="B1943" s="37">
        <v>18.738422467680476</v>
      </c>
    </row>
    <row r="1944">
      <c r="A1944" s="36"/>
      <c r="B1944" s="37">
        <v>3.238422467680474</v>
      </c>
    </row>
    <row r="1945">
      <c r="A1945" s="36"/>
      <c r="B1945" s="37">
        <v>4.208422467680474</v>
      </c>
    </row>
    <row r="1946">
      <c r="A1946" s="36"/>
      <c r="B1946" s="37">
        <v>29.838422467680473</v>
      </c>
    </row>
    <row r="1947">
      <c r="A1947" s="36"/>
      <c r="B1947" s="37">
        <v>9.488422467680474</v>
      </c>
    </row>
    <row r="1948">
      <c r="A1948" s="36"/>
      <c r="B1948" s="37">
        <v>11.688422467680473</v>
      </c>
    </row>
    <row r="1949">
      <c r="A1949" s="36"/>
      <c r="B1949" s="37">
        <v>42.24842246768048</v>
      </c>
    </row>
    <row r="1950">
      <c r="A1950" s="36"/>
      <c r="B1950" s="37">
        <v>11.138422467680472</v>
      </c>
    </row>
    <row r="1951">
      <c r="A1951" s="36"/>
      <c r="B1951" s="37">
        <v>12.008422467680473</v>
      </c>
    </row>
    <row r="1952">
      <c r="A1952" s="36"/>
      <c r="B1952" s="37">
        <v>9.688422467680473</v>
      </c>
    </row>
    <row r="1953">
      <c r="A1953" s="36"/>
      <c r="B1953" s="37">
        <v>12.818422467680474</v>
      </c>
    </row>
    <row r="1954">
      <c r="A1954" s="36"/>
      <c r="B1954" s="37">
        <v>47.728422467680474</v>
      </c>
    </row>
    <row r="1955">
      <c r="A1955" s="36"/>
      <c r="B1955" s="37">
        <v>15.548422467680473</v>
      </c>
    </row>
    <row r="1956">
      <c r="A1956" s="36"/>
      <c r="B1956" s="37">
        <v>29.018422467680473</v>
      </c>
    </row>
    <row r="1957">
      <c r="A1957" s="36"/>
      <c r="B1957" s="37">
        <v>13.138422467680472</v>
      </c>
    </row>
    <row r="1958">
      <c r="A1958" s="36"/>
      <c r="B1958" s="37">
        <v>53.118422467680475</v>
      </c>
    </row>
    <row r="1959">
      <c r="A1959" s="36"/>
      <c r="B1959" s="37">
        <v>36.288422467680476</v>
      </c>
    </row>
    <row r="1960">
      <c r="A1960" s="36"/>
      <c r="B1960" s="37">
        <v>13.518422467680473</v>
      </c>
    </row>
    <row r="1961">
      <c r="A1961" s="36"/>
      <c r="B1961" s="37">
        <v>11.218422467680472</v>
      </c>
    </row>
    <row r="1962">
      <c r="A1962" s="36"/>
      <c r="B1962" s="37">
        <v>23.448422467680476</v>
      </c>
    </row>
    <row r="1963">
      <c r="A1963" s="36"/>
      <c r="B1963" s="37">
        <v>68.62842246768047</v>
      </c>
    </row>
    <row r="1964">
      <c r="A1964" s="36"/>
      <c r="B1964" s="37">
        <v>16.448422467680476</v>
      </c>
    </row>
    <row r="1965">
      <c r="A1965" s="36"/>
      <c r="B1965" s="37">
        <v>12.788422467680473</v>
      </c>
    </row>
    <row r="1966">
      <c r="A1966" s="36"/>
      <c r="B1966" s="37">
        <v>27.608422467680477</v>
      </c>
    </row>
    <row r="1967">
      <c r="A1967" s="36"/>
      <c r="B1967" s="37">
        <v>13.678422467680473</v>
      </c>
    </row>
    <row r="1968">
      <c r="A1968" s="36"/>
      <c r="B1968" s="37">
        <v>17.268422467680473</v>
      </c>
    </row>
    <row r="1969">
      <c r="A1969" s="36"/>
      <c r="B1969" s="37">
        <v>55.85842246768048</v>
      </c>
    </row>
    <row r="1970">
      <c r="A1970" s="36"/>
      <c r="B1970" s="37">
        <v>17.308422467680476</v>
      </c>
    </row>
    <row r="1971">
      <c r="A1971" s="36"/>
      <c r="B1971" s="37">
        <v>14.098422467680473</v>
      </c>
    </row>
    <row r="1972">
      <c r="A1972" s="36"/>
      <c r="B1972" s="37">
        <v>36.158422467680474</v>
      </c>
    </row>
    <row r="1973">
      <c r="A1973" s="36"/>
      <c r="B1973" s="37">
        <v>59.468422467680476</v>
      </c>
    </row>
    <row r="1974">
      <c r="A1974" s="36"/>
      <c r="B1974" s="37">
        <v>38.24842246768048</v>
      </c>
    </row>
    <row r="1975">
      <c r="A1975" s="36"/>
      <c r="B1975" s="37">
        <v>42.758422467680475</v>
      </c>
    </row>
    <row r="1976">
      <c r="A1976" s="36"/>
      <c r="B1976" s="37">
        <v>10.308422467680472</v>
      </c>
    </row>
    <row r="1977">
      <c r="A1977" s="36"/>
      <c r="B1977" s="37">
        <v>37.91842246768047</v>
      </c>
    </row>
    <row r="1978">
      <c r="A1978" s="36"/>
      <c r="B1978" s="37">
        <v>28.398422467680476</v>
      </c>
    </row>
    <row r="1979">
      <c r="A1979" s="36"/>
      <c r="B1979" s="37">
        <v>10.838422467680473</v>
      </c>
    </row>
    <row r="1980">
      <c r="A1980" s="36"/>
      <c r="B1980" s="37">
        <v>36.09842246768047</v>
      </c>
    </row>
    <row r="1981">
      <c r="A1981" s="36"/>
      <c r="B1981" s="37">
        <v>33.85842246768048</v>
      </c>
    </row>
    <row r="1982">
      <c r="A1982" s="36"/>
      <c r="B1982" s="37">
        <v>28.968422467680476</v>
      </c>
    </row>
    <row r="1983">
      <c r="A1983" s="36"/>
      <c r="B1983" s="37">
        <v>11.528422467680473</v>
      </c>
    </row>
    <row r="1984">
      <c r="A1984" s="36"/>
      <c r="B1984" s="37">
        <v>62.02842246768048</v>
      </c>
    </row>
    <row r="1985">
      <c r="A1985" s="36"/>
      <c r="B1985" s="37">
        <v>63.59842246768047</v>
      </c>
    </row>
    <row r="1986">
      <c r="A1986" s="36"/>
      <c r="B1986" s="37">
        <v>11.088422467680473</v>
      </c>
    </row>
    <row r="1987">
      <c r="A1987" s="36"/>
      <c r="B1987" s="37">
        <v>21.838422467680473</v>
      </c>
    </row>
    <row r="1988">
      <c r="A1988" s="36"/>
      <c r="B1988" s="37">
        <v>24.478422467680474</v>
      </c>
    </row>
    <row r="1989">
      <c r="A1989" s="36"/>
      <c r="B1989" s="37">
        <v>11.758422467680473</v>
      </c>
    </row>
    <row r="1990">
      <c r="A1990" s="36"/>
      <c r="B1990" s="37">
        <v>35.688422467680475</v>
      </c>
    </row>
    <row r="1991">
      <c r="A1991" s="36"/>
      <c r="B1991" s="37">
        <v>27.958422467680474</v>
      </c>
    </row>
    <row r="1992">
      <c r="A1992" s="36"/>
      <c r="B1992" s="37">
        <v>11.238422467680474</v>
      </c>
    </row>
    <row r="1993">
      <c r="A1993" s="36"/>
      <c r="B1993" s="37">
        <v>26.668422467680475</v>
      </c>
    </row>
    <row r="1994">
      <c r="A1994" s="36"/>
      <c r="B1994" s="37">
        <v>66.72842246768047</v>
      </c>
    </row>
    <row r="1995">
      <c r="A1995" s="36"/>
      <c r="B1995" s="37">
        <v>9.268422467680473</v>
      </c>
    </row>
    <row r="1996">
      <c r="A1996" s="36"/>
      <c r="B1996" s="37">
        <v>69.61842246768047</v>
      </c>
    </row>
    <row r="1997">
      <c r="A1997" s="36"/>
      <c r="B1997" s="37">
        <v>11.888422467680472</v>
      </c>
    </row>
    <row r="1998">
      <c r="A1998" s="36"/>
      <c r="B1998" s="37">
        <v>35.88842246768048</v>
      </c>
    </row>
    <row r="1999">
      <c r="A1999" s="36"/>
      <c r="B1999" s="37">
        <v>17.378422467680476</v>
      </c>
    </row>
    <row r="2000">
      <c r="A2000" s="36"/>
      <c r="B2000" s="37">
        <v>40.63842246768048</v>
      </c>
    </row>
    <row r="2001">
      <c r="A2001" s="36"/>
      <c r="B2001" s="37">
        <v>19.458422467680474</v>
      </c>
    </row>
    <row r="2002">
      <c r="A2002" s="54"/>
      <c r="B2002" s="35"/>
    </row>
    <row r="2003">
      <c r="A2003" s="54"/>
      <c r="B2003" s="35"/>
    </row>
    <row r="2004">
      <c r="A2004" s="54"/>
      <c r="B2004" s="35"/>
    </row>
  </sheetData>
  <mergeCells count="2">
    <mergeCell ref="L10:M10"/>
    <mergeCell ref="M12:N12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4" max="4" width="14.88"/>
    <col customWidth="1" min="5" max="5" width="15.5"/>
    <col customWidth="1" min="12" max="13" width="20.5"/>
  </cols>
  <sheetData>
    <row r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4">
      <c r="A4" s="25"/>
    </row>
    <row r="5">
      <c r="A5" s="25"/>
    </row>
    <row r="6">
      <c r="A6" s="25"/>
    </row>
    <row r="7">
      <c r="A7" s="25"/>
      <c r="E7" s="16" t="s">
        <v>14</v>
      </c>
      <c r="G7" s="56" t="str">
        <f t="array" ref="G7:G28">UNIQUE(mercado_acoes!E:E)</f>
        <v>Stiker</v>
      </c>
      <c r="H7" s="57">
        <v>45658.0</v>
      </c>
      <c r="I7" s="57">
        <v>45690.0</v>
      </c>
      <c r="J7" s="57">
        <v>45719.0</v>
      </c>
      <c r="K7" s="57">
        <v>45751.0</v>
      </c>
      <c r="L7" s="57">
        <v>45782.0</v>
      </c>
      <c r="M7" s="57">
        <v>45814.0</v>
      </c>
      <c r="N7" s="57">
        <v>45845.0</v>
      </c>
      <c r="O7" s="57">
        <v>45877.0</v>
      </c>
      <c r="P7" s="57">
        <v>45909.0</v>
      </c>
      <c r="Q7" s="57">
        <v>45940.0</v>
      </c>
      <c r="R7" s="57">
        <v>45972.0</v>
      </c>
      <c r="S7" s="57">
        <v>46003.0</v>
      </c>
      <c r="T7" s="58" t="s">
        <v>259</v>
      </c>
    </row>
    <row r="8">
      <c r="A8" s="25"/>
      <c r="G8" s="59" t="s">
        <v>12</v>
      </c>
      <c r="H8" s="60">
        <f t="array" ref="H8">COUNTIFS(mercado_acoes!E:E,"IGTA3",mercado_acoes!H:H,"&gt;=01/01/2023",mercado_acoes!H:H,"&lt;=31/01/2023")</f>
        <v>8</v>
      </c>
      <c r="I8" s="60">
        <f t="array" ref="I8">COUNTIFS(mercado_acoes!E:E,"IGTA3",mercado_acoes!H:H,"&gt;=01/02/2023",mercado_acoes!H:H,"&lt;=28/02/2023")</f>
        <v>9</v>
      </c>
      <c r="J8" s="60">
        <f t="array" ref="J8">COUNTIFS(mercado_acoes!E:E,"IGTA3",mercado_acoes!H:H,"&gt;=01/03/2023",mercado_acoes!H:H,"&lt;=31/03/2023")</f>
        <v>9</v>
      </c>
      <c r="K8" s="60">
        <f t="array" ref="K8">COUNTIFS(mercado_acoes!E:E,"IGTA3",mercado_acoes!H:H,"&gt;=01/04/2023",mercado_acoes!H:H,"&lt;=30/04/2023")</f>
        <v>6</v>
      </c>
      <c r="L8" s="60">
        <f t="array" ref="L8">COUNTIFS(mercado_acoes!E:E,"IGTA3",mercado_acoes!H:H,"&gt;=01/05/2023",mercado_acoes!H:H,"&lt;=31/05/2023")</f>
        <v>6</v>
      </c>
      <c r="M8" s="60">
        <f t="array" ref="M8">COUNTIFS(mercado_acoes!E:E,"IGTA3",mercado_acoes!H:H,"&gt;=01/06/2023",mercado_acoes!H:H,"&lt;=30/06/2023")</f>
        <v>11</v>
      </c>
      <c r="N8" s="60">
        <f t="array" ref="N8">COUNTIFS(mercado_acoes!E:E,"IGTA3",mercado_acoes!H:H,"&gt;=01/07/2023",mercado_acoes!H:H,"&lt;=31/07/2023")</f>
        <v>10</v>
      </c>
      <c r="O8" s="60">
        <f t="array" ref="O8">COUNTIFS(mercado_acoes!E:E,"IGTA3",mercado_acoes!H:H,"&gt;=01/08/2023",mercado_acoes!H:H,"&lt;=31/08/2023")</f>
        <v>8</v>
      </c>
      <c r="P8" s="60">
        <f t="array" ref="P8">COUNTIFS(mercado_acoes!E:E,"IGTA3",mercado_acoes!H:H,"&gt;=01/09/2023",mercado_acoes!H:H,"&lt;=30/09/2023")</f>
        <v>4</v>
      </c>
      <c r="Q8" s="60">
        <f t="array" ref="Q8">COUNTIFS(mercado_acoes!E:E,"IGTA3",mercado_acoes!H:H,"&gt;=01/10/2023",mercado_acoes!H:H,"&lt;=31/10/2023")</f>
        <v>11</v>
      </c>
      <c r="R8" s="60">
        <f t="array" ref="R8">COUNTIFS(mercado_acoes!E:E,"IGTA3",mercado_acoes!H:H,"&gt;=01/11/2023",mercado_acoes!H:H,"&lt;=30/11/2023")</f>
        <v>7</v>
      </c>
      <c r="S8" s="60">
        <f t="array" ref="S8">COUNTIFS(mercado_acoes!E:E,"IGTA3",mercado_acoes!H:H,"&gt;=01/12/2023",mercado_acoes!H:H,"&lt;=31/12/2023")</f>
        <v>6</v>
      </c>
      <c r="T8" s="60">
        <f>COUNTIF(mercado_acoes!E:E,G8)</f>
        <v>95</v>
      </c>
    </row>
    <row r="9">
      <c r="A9" s="25"/>
      <c r="G9" s="59" t="s">
        <v>31</v>
      </c>
      <c r="H9" s="60">
        <f t="array" ref="H9">COUNTIFS(mercado_acoes!E:E,"VIVT3",mercado_acoes!H:H,"&gt;=01/01/2023",mercado_acoes!H:H,"&lt;=31/01/2023")</f>
        <v>9</v>
      </c>
      <c r="I9" s="60">
        <f t="array" ref="I9">COUNTIFS(mercado_acoes!E:E,"VIVT3",mercado_acoes!H:H,"&gt;=01/02/2023",mercado_acoes!H:H,"&lt;=28/02/2023")</f>
        <v>6</v>
      </c>
      <c r="J9" s="60">
        <f t="array" ref="J9">COUNTIFS(mercado_acoes!E:E,"VIVT3",mercado_acoes!H:H,"&gt;=01/03/2023",mercado_acoes!H:H,"&lt;=31/03/2023")</f>
        <v>6</v>
      </c>
      <c r="K9" s="60">
        <f t="array" ref="K9">COUNTIFS(mercado_acoes!E:E,"VIVT3",mercado_acoes!H:H,"&gt;=01/04/2023",mercado_acoes!H:H,"&lt;=30/04/2023")</f>
        <v>12</v>
      </c>
      <c r="L9" s="60">
        <f t="array" ref="L9">COUNTIFS(mercado_acoes!E:E,"VIVT3",mercado_acoes!H:H,"&gt;=01/05/2023",mercado_acoes!H:H,"&lt;=31/05/2023")</f>
        <v>8</v>
      </c>
      <c r="M9" s="60">
        <f t="array" ref="M9">COUNTIFS(mercado_acoes!E:E,"VIVT3",mercado_acoes!H:H,"&gt;=01/06/2023",mercado_acoes!H:H,"&lt;=30/06/2023")</f>
        <v>11</v>
      </c>
      <c r="N9" s="60">
        <f t="array" ref="N9">COUNTIFS(mercado_acoes!E:E,"VIVT3",mercado_acoes!H:H,"&gt;=01/07/2023",mercado_acoes!H:H,"&lt;=31/07/2023")</f>
        <v>7</v>
      </c>
      <c r="O9" s="60">
        <f t="array" ref="O9">COUNTIFS(mercado_acoes!E:E,"VIVT3",mercado_acoes!H:H,"&gt;=01/08/2023",mercado_acoes!H:H,"&lt;=31/08/2023")</f>
        <v>6</v>
      </c>
      <c r="P9" s="60">
        <f t="array" ref="P9">COUNTIFS(mercado_acoes!E:E,"VIVT3",mercado_acoes!H:H,"&gt;=01/09/2023",mercado_acoes!H:H,"&lt;=30/09/2023")</f>
        <v>8</v>
      </c>
      <c r="Q9" s="60">
        <f t="array" ref="Q9">COUNTIFS(mercado_acoes!E:E,"VIVT3",mercado_acoes!H:H,"&gt;=01/10/2023",mercado_acoes!H:H,"&lt;=31/10/2023")</f>
        <v>6</v>
      </c>
      <c r="R9" s="60">
        <f t="array" ref="R9">COUNTIFS(mercado_acoes!E:E,"VIVT3",mercado_acoes!H:H,"&gt;=01/11/2023",mercado_acoes!H:H,"&lt;=30/11/2023")</f>
        <v>7</v>
      </c>
      <c r="S9" s="60">
        <f t="array" ref="S9">COUNTIFS(mercado_acoes!E:E,"VIVT3",mercado_acoes!H:H,"&gt;=01/12/2023",mercado_acoes!H:H,"&lt;=31/12/2023")</f>
        <v>10</v>
      </c>
      <c r="T9" s="60">
        <f>COUNTIF(mercado_acoes!E:E,G9)</f>
        <v>96</v>
      </c>
    </row>
    <row r="10">
      <c r="A10" s="25"/>
      <c r="G10" s="59" t="s">
        <v>35</v>
      </c>
      <c r="H10" s="60">
        <f t="array" ref="H10">COUNTIFS(mercado_acoes!E:E,"LREN3",mercado_acoes!H:H,"&gt;=01/01/2023",mercado_acoes!H:H,"&lt;=31/01/2023")</f>
        <v>6</v>
      </c>
      <c r="I10" s="60">
        <f t="array" ref="I10">COUNTIFS(mercado_acoes!E:E,"LREN3",mercado_acoes!H:H,"&gt;=01/02/2023",mercado_acoes!H:H,"&lt;=28/02/2023")</f>
        <v>6</v>
      </c>
      <c r="J10" s="60">
        <f t="array" ref="J10">COUNTIFS(mercado_acoes!E:E,"LREN3",mercado_acoes!H:H,"&gt;=01/03/2023",mercado_acoes!H:H,"&lt;=31/03/2023")</f>
        <v>5</v>
      </c>
      <c r="K10" s="60">
        <f t="array" ref="K10">COUNTIFS(mercado_acoes!E:E,"LREN3",mercado_acoes!H:H,"&gt;=01/04/2023",mercado_acoes!H:H,"&lt;=30/04/2023")</f>
        <v>9</v>
      </c>
      <c r="L10" s="60">
        <f t="array" ref="L10">COUNTIFS(mercado_acoes!E:E,"LREN3",mercado_acoes!H:H,"&gt;=01/05/2023",mercado_acoes!H:H,"&lt;=31/05/2023")</f>
        <v>8</v>
      </c>
      <c r="M10" s="60">
        <f t="array" ref="M10">COUNTIFS(mercado_acoes!E:E,"LREN3",mercado_acoes!H:H,"&gt;=01/06/2023",mercado_acoes!H:H,"&lt;=30/06/2023")</f>
        <v>7</v>
      </c>
      <c r="N10" s="60">
        <f t="array" ref="N10">COUNTIFS(mercado_acoes!E:E,"LREN3",mercado_acoes!H:H,"&gt;=01/07/2023",mercado_acoes!H:H,"&lt;=31/07/2023")</f>
        <v>10</v>
      </c>
      <c r="O10" s="61">
        <f t="array" ref="O10">COUNTIFS(mercado_acoes!E:E,"LREN3",mercado_acoes!H:H,"&gt;=01/08/2023",mercado_acoes!H:H,"&lt;=31/08/2023")</f>
        <v>11</v>
      </c>
      <c r="P10" s="60">
        <f t="array" ref="P10">COUNTIFS(mercado_acoes!E:E,"LREN3",mercado_acoes!H:H,"&gt;=01/09/2023",mercado_acoes!H:H,"&lt;=30/09/2023")</f>
        <v>9</v>
      </c>
      <c r="Q10" s="60">
        <f t="array" ref="Q10">COUNTIFS(mercado_acoes!E:E,"LREN3",mercado_acoes!H:H,"&gt;=01/10/2023",mercado_acoes!H:H,"&lt;=31/10/2023")</f>
        <v>12</v>
      </c>
      <c r="R10" s="60">
        <f t="array" ref="R10">COUNTIFS(mercado_acoes!E:E,"LREN3",mercado_acoes!H:H,"&gt;=01/11/2023",mercado_acoes!H:H,"&lt;=30/11/2023")</f>
        <v>8</v>
      </c>
      <c r="S10" s="60">
        <f t="array" ref="S10">COUNTIFS(mercado_acoes!E:E,"LREN3",mercado_acoes!H:H,"&gt;=01/12/2023",mercado_acoes!H:H,"&lt;=31/12/2023")</f>
        <v>8</v>
      </c>
      <c r="T10" s="60">
        <f>COUNTIF(mercado_acoes!E:E,G10)</f>
        <v>99</v>
      </c>
    </row>
    <row r="11">
      <c r="A11" s="25"/>
      <c r="G11" s="59" t="s">
        <v>39</v>
      </c>
      <c r="H11" s="60">
        <f t="array" ref="H11">COUNTIFS(mercado_acoes!E:E,"PETR4",mercado_acoes!H:H,"&gt;=01/01/2023",mercado_acoes!H:H,"&lt;=31/01/2023")</f>
        <v>9</v>
      </c>
      <c r="I11" s="60">
        <f t="array" ref="I11">COUNTIFS(mercado_acoes!E:E,"PETR4",mercado_acoes!H:H,"&gt;=01/02/2023",mercado_acoes!H:H,"&lt;=28/02/2023")</f>
        <v>10</v>
      </c>
      <c r="J11" s="60">
        <f t="array" ref="J11">COUNTIFS(mercado_acoes!E:E,"PETR4",mercado_acoes!H:H,"&gt;=01/03/2023",mercado_acoes!H:H,"&lt;=31/03/2023")</f>
        <v>5</v>
      </c>
      <c r="K11" s="60">
        <f t="array" ref="K11">COUNTIFS(mercado_acoes!E:E,"PETR4",mercado_acoes!H:H,"&gt;=01/04/2023",mercado_acoes!H:H,"&lt;=30/04/2023")</f>
        <v>6</v>
      </c>
      <c r="L11" s="60">
        <f t="array" ref="L11">COUNTIFS(mercado_acoes!E:E,"PETR4",mercado_acoes!H:H,"&gt;=01/05/2023",mercado_acoes!H:H,"&lt;=31/05/2023")</f>
        <v>14</v>
      </c>
      <c r="M11" s="60">
        <f t="array" ref="M11">COUNTIFS(mercado_acoes!E:E,"PETR4",mercado_acoes!H:H,"&gt;=01/06/2023",mercado_acoes!H:H,"&lt;=30/06/2023")</f>
        <v>7</v>
      </c>
      <c r="N11" s="60">
        <f t="array" ref="N11">COUNTIFS(mercado_acoes!E:E,"PETR4",mercado_acoes!H:H,"&gt;=01/07/2023",mercado_acoes!H:H,"&lt;=31/07/2023")</f>
        <v>6</v>
      </c>
      <c r="O11" s="60">
        <f t="array" ref="O11">COUNTIFS(mercado_acoes!E:E,"PETR4",mercado_acoes!H:H,"&gt;=01/08/2023",mercado_acoes!H:H,"&lt;=31/08/2023")</f>
        <v>4</v>
      </c>
      <c r="P11" s="60">
        <f t="array" ref="P11">COUNTIFS(mercado_acoes!E:E,"PETR4",mercado_acoes!H:H,"&gt;=01/09/2023",mercado_acoes!H:H,"&lt;=30/09/2023")</f>
        <v>10</v>
      </c>
      <c r="Q11" s="60">
        <f t="array" ref="Q11">COUNTIFS(mercado_acoes!E:E,"PETR4",mercado_acoes!H:H,"&gt;=01/10/2023",mercado_acoes!H:H,"&lt;=31/10/2023")</f>
        <v>10</v>
      </c>
      <c r="R11" s="60">
        <f t="array" ref="R11">COUNTIFS(mercado_acoes!E:E,"PETR4",mercado_acoes!H:H,"&gt;=01/11/2023",mercado_acoes!H:H,"&lt;=30/11/2023")</f>
        <v>10</v>
      </c>
      <c r="S11" s="60">
        <f t="array" ref="S11">COUNTIFS(mercado_acoes!E:E,"PETR4",mercado_acoes!H:H,"&gt;=01/12/2023",mercado_acoes!H:H,"&lt;=31/12/2023")</f>
        <v>13</v>
      </c>
      <c r="T11" s="60">
        <f>COUNTIF(mercado_acoes!E:E,G11)</f>
        <v>104</v>
      </c>
    </row>
    <row r="12">
      <c r="A12" s="25"/>
      <c r="G12" s="59" t="s">
        <v>43</v>
      </c>
      <c r="H12" s="60">
        <f t="array" ref="H12">COUNTIFS(mercado_acoes!E:E,"CSAN3",mercado_acoes!H:H,"&gt;=01/01/2023",mercado_acoes!H:H,"&lt;=31/01/2023")</f>
        <v>5</v>
      </c>
      <c r="I12" s="60">
        <f t="array" ref="I12">COUNTIFS(mercado_acoes!E:E,"CSAN3",mercado_acoes!H:H,"&gt;=01/02/2023",mercado_acoes!H:H,"&lt;=28/02/2023")</f>
        <v>10</v>
      </c>
      <c r="J12" s="60">
        <f t="array" ref="J12">COUNTIFS(mercado_acoes!E:E,"CSAN3",mercado_acoes!H:H,"&gt;=01/03/2023",mercado_acoes!H:H,"&lt;=31/03/2023")</f>
        <v>8</v>
      </c>
      <c r="K12" s="60">
        <f t="array" ref="K12">COUNTIFS(mercado_acoes!E:E,"CSAN3",mercado_acoes!H:H,"&gt;=01/04/2023",mercado_acoes!H:H,"&lt;=30/04/2023")</f>
        <v>4</v>
      </c>
      <c r="L12" s="60">
        <f t="array" ref="L12">COUNTIFS(mercado_acoes!E:E,"CSAN3",mercado_acoes!H:H,"&gt;=01/05/2023",mercado_acoes!H:H,"&lt;=31/05/2023")</f>
        <v>3</v>
      </c>
      <c r="M12" s="60">
        <f t="array" ref="M12">COUNTIFS(mercado_acoes!E:E,"CSAN3",mercado_acoes!H:H,"&gt;=01/06/2023",mercado_acoes!H:H,"&lt;=30/06/2023")</f>
        <v>11</v>
      </c>
      <c r="N12" s="60">
        <f t="array" ref="N12">COUNTIFS(mercado_acoes!E:E,"CSAN3",mercado_acoes!H:H,"&gt;=01/07/2023",mercado_acoes!H:H,"&lt;=31/07/2023")</f>
        <v>8</v>
      </c>
      <c r="O12" s="60">
        <f t="array" ref="O12">COUNTIFS(mercado_acoes!E:E,"CSAN3",mercado_acoes!H:H,"&gt;=01/08/2023",mercado_acoes!H:H,"&lt;=31/08/2023")</f>
        <v>8</v>
      </c>
      <c r="P12" s="60">
        <f t="array" ref="P12">COUNTIFS(mercado_acoes!E:E,"CSAN3",mercado_acoes!H:H,"&gt;=01/09/2023",mercado_acoes!H:H,"&lt;=30/09/2023")</f>
        <v>8</v>
      </c>
      <c r="Q12" s="60">
        <f t="array" ref="Q12">COUNTIFS(mercado_acoes!E:E,"CSAN3",mercado_acoes!H:H,"&gt;=01/10/2023",mercado_acoes!H:H,"&lt;=31/10/2023")</f>
        <v>2</v>
      </c>
      <c r="R12" s="60">
        <f t="array" ref="R12">COUNTIFS(mercado_acoes!E:E,"CSAN3",mercado_acoes!H:H,"&gt;=01/11/2023",mercado_acoes!H:H,"&lt;=30/11/2023")</f>
        <v>11</v>
      </c>
      <c r="S12" s="60">
        <f t="array" ref="S12">COUNTIFS(mercado_acoes!E:E,"CSAN3",mercado_acoes!H:H,"&gt;=01/12/2023",mercado_acoes!H:H,"&lt;=31/12/2023")</f>
        <v>8</v>
      </c>
      <c r="T12" s="60">
        <f>COUNTIF(mercado_acoes!E:E,G12)</f>
        <v>86</v>
      </c>
    </row>
    <row r="13">
      <c r="A13" s="25"/>
      <c r="G13" s="59" t="s">
        <v>46</v>
      </c>
      <c r="H13" s="60">
        <f t="array" ref="H13">COUNTIFS(mercado_acoes!E:E,"ABEV3",mercado_acoes!H:H,"&gt;=01/01/2023",mercado_acoes!H:H,"&lt;=31/01/2023")</f>
        <v>5</v>
      </c>
      <c r="I13" s="60">
        <f t="array" ref="I13">COUNTIFS(mercado_acoes!E:E,"ABEV3",mercado_acoes!H:H,"&gt;=01/02/2023",mercado_acoes!H:H,"&lt;=28/02/2023")</f>
        <v>12</v>
      </c>
      <c r="J13" s="60">
        <f t="array" ref="J13">COUNTIFS(mercado_acoes!E:E,"ABEV3",mercado_acoes!H:H,"&gt;=01/03/2023",mercado_acoes!H:H,"&lt;=31/03/2023")</f>
        <v>5</v>
      </c>
      <c r="K13" s="60">
        <f t="array" ref="K13">COUNTIFS(mercado_acoes!E:E,"ABEV3",mercado_acoes!H:H,"&gt;=01/04/2023",mercado_acoes!H:H,"&lt;=30/04/2023")</f>
        <v>14</v>
      </c>
      <c r="L13" s="60">
        <f t="array" ref="L13">COUNTIFS(mercado_acoes!E:E,"ABEV3",mercado_acoes!H:H,"&gt;=01/05/2023",mercado_acoes!H:H,"&lt;=31/05/2023")</f>
        <v>6</v>
      </c>
      <c r="M13" s="60">
        <f t="array" ref="M13">COUNTIFS(mercado_acoes!E:E,"ABEV3",mercado_acoes!H:H,"&gt;=01/06/2023",mercado_acoes!H:H,"&lt;=30/06/2023")</f>
        <v>9</v>
      </c>
      <c r="N13" s="60">
        <f t="array" ref="N13">COUNTIFS(mercado_acoes!E:E,"ABEV3",mercado_acoes!H:H,"&gt;=01/07/2023",mercado_acoes!H:H,"&lt;=31/07/2023")</f>
        <v>6</v>
      </c>
      <c r="O13" s="60">
        <f t="array" ref="O13">COUNTIFS(mercado_acoes!E:E,"ABEV3",mercado_acoes!H:H,"&gt;=01/08/2023",mercado_acoes!H:H,"&lt;=31/08/2023")</f>
        <v>9</v>
      </c>
      <c r="P13" s="60">
        <f t="array" ref="P13">COUNTIFS(mercado_acoes!E:E,"ABEV3",mercado_acoes!H:H,"&gt;=01/09/2023",mercado_acoes!H:H,"&lt;=30/09/2023")</f>
        <v>7</v>
      </c>
      <c r="Q13" s="60">
        <f t="array" ref="Q13">COUNTIFS(mercado_acoes!E:E,"ABEV3",mercado_acoes!H:H,"&gt;=01/10/2023",mercado_acoes!H:H,"&lt;=31/10/2023")</f>
        <v>9</v>
      </c>
      <c r="R13" s="60">
        <f t="array" ref="R13">COUNTIFS(mercado_acoes!E:E,"ABEV3",mercado_acoes!H:H,"&gt;=01/11/2023",mercado_acoes!H:H,"&lt;=30/11/2023")</f>
        <v>16</v>
      </c>
      <c r="S13" s="60">
        <f t="array" ref="S13">COUNTIFS(mercado_acoes!E:E,"ABEV3",mercado_acoes!H:H,"&gt;=01/12/2023",mercado_acoes!H:H,"&lt;=31/12/2023")</f>
        <v>12</v>
      </c>
      <c r="T13" s="60">
        <f>COUNTIF(mercado_acoes!E:E,G13)</f>
        <v>110</v>
      </c>
    </row>
    <row r="14">
      <c r="A14" s="25"/>
      <c r="G14" s="59" t="s">
        <v>50</v>
      </c>
      <c r="H14" s="60">
        <f t="array" ref="H14">COUNTIFS(mercado_acoes!E:E,"ITUB4",mercado_acoes!H:H,"&gt;=01/01/2023",mercado_acoes!H:H,"&lt;=31/01/2023")</f>
        <v>10</v>
      </c>
      <c r="I14" s="60">
        <f t="array" ref="I14">COUNTIFS(mercado_acoes!E:E,"ITUB4",mercado_acoes!H:H,"&gt;=01/02/2023",mercado_acoes!H:H,"&lt;=28/02/2023")</f>
        <v>11</v>
      </c>
      <c r="J14" s="60">
        <f t="array" ref="J14">COUNTIFS(mercado_acoes!E:E,"ITUB4",mercado_acoes!H:H,"&gt;=01/03/2023",mercado_acoes!H:H,"&lt;=31/03/2023")</f>
        <v>13</v>
      </c>
      <c r="K14" s="60">
        <f t="array" ref="K14">COUNTIFS(mercado_acoes!E:E,"ITUB4",mercado_acoes!H:H,"&gt;=01/04/2023",mercado_acoes!H:H,"&lt;=30/04/2023")</f>
        <v>11</v>
      </c>
      <c r="L14" s="60">
        <f t="array" ref="L14">COUNTIFS(mercado_acoes!E:E,"ITUB4",mercado_acoes!H:H,"&gt;=01/05/2023",mercado_acoes!H:H,"&lt;=31/05/2023")</f>
        <v>11</v>
      </c>
      <c r="M14" s="60">
        <f t="array" ref="M14">COUNTIFS(mercado_acoes!E:E,"ITUB4",mercado_acoes!H:H,"&gt;=01/06/2023",mercado_acoes!H:H,"&lt;=30/06/2023")</f>
        <v>5</v>
      </c>
      <c r="N14" s="60">
        <f t="array" ref="N14">COUNTIFS(mercado_acoes!E:E,"ITUB4",mercado_acoes!H:H,"&gt;=01/07/2023",mercado_acoes!H:H,"&lt;=31/07/2023")</f>
        <v>10</v>
      </c>
      <c r="O14" s="60">
        <f t="array" ref="O14">COUNTIFS(mercado_acoes!E:E,"ITUB4",mercado_acoes!H:H,"&gt;=01/08/2023",mercado_acoes!H:H,"&lt;=31/08/2023")</f>
        <v>11</v>
      </c>
      <c r="P14" s="60">
        <f t="array" ref="P14">COUNTIFS(mercado_acoes!E:E,"ITUB4",mercado_acoes!H:H,"&gt;=01/09/2023",mercado_acoes!H:H,"&lt;=30/09/2023")</f>
        <v>7</v>
      </c>
      <c r="Q14" s="60">
        <f t="array" ref="Q14">COUNTIFS(mercado_acoes!E:E,"ITUB4",mercado_acoes!H:H,"&gt;=01/10/2023",mercado_acoes!H:H,"&lt;=31/10/2023")</f>
        <v>6</v>
      </c>
      <c r="R14" s="60">
        <f t="array" ref="R14">COUNTIFS(mercado_acoes!E:E,"ITUB4",mercado_acoes!H:H,"&gt;=01/11/2023",mercado_acoes!H:H,"&lt;=30/11/2023")</f>
        <v>5</v>
      </c>
      <c r="S14" s="60">
        <f t="array" ref="S14">COUNTIFS(mercado_acoes!E:E,"ITUB4",mercado_acoes!H:H,"&gt;=01/12/2023",mercado_acoes!H:H,"&lt;=31/12/2023")</f>
        <v>15</v>
      </c>
      <c r="T14" s="60">
        <f>COUNTIF(mercado_acoes!E:E,G14)</f>
        <v>115</v>
      </c>
    </row>
    <row r="15">
      <c r="G15" s="59" t="s">
        <v>52</v>
      </c>
      <c r="H15" s="60">
        <f t="array" ref="H15">COUNTIFS(mercado_acoes!E:E,"RENT3",mercado_acoes!H:H,"&gt;=01/01/2023",mercado_acoes!H:H,"&lt;=31/01/2023")</f>
        <v>10</v>
      </c>
      <c r="I15" s="60">
        <f t="array" ref="I15">COUNTIFS(mercado_acoes!E:E,"RENT3",mercado_acoes!H:H,"&gt;=01/02/2023",mercado_acoes!H:H,"&lt;=28/02/2023")</f>
        <v>10</v>
      </c>
      <c r="J15" s="60">
        <f t="array" ref="J15">COUNTIFS(mercado_acoes!E:E,"RENT3",mercado_acoes!H:H,"&gt;=01/03/2023",mercado_acoes!H:H,"&lt;=31/03/2023")</f>
        <v>6</v>
      </c>
      <c r="K15" s="60">
        <f t="array" ref="K15">COUNTIFS(mercado_acoes!E:E,"RENT3",mercado_acoes!H:H,"&gt;=01/04/2023",mercado_acoes!H:H,"&lt;=30/04/2023")</f>
        <v>13</v>
      </c>
      <c r="L15" s="60">
        <f t="array" ref="L15">COUNTIFS(mercado_acoes!E:E,"RENT3",mercado_acoes!H:H,"&gt;=01/05/2023",mercado_acoes!H:H,"&lt;=31/05/2023")</f>
        <v>9</v>
      </c>
      <c r="M15" s="60">
        <f t="array" ref="M15">COUNTIFS(mercado_acoes!E:E,"RENT3",mercado_acoes!H:H,"&gt;=01/06/2023",mercado_acoes!H:H,"&lt;=30/06/2023")</f>
        <v>7</v>
      </c>
      <c r="N15" s="60">
        <f t="array" ref="N15">COUNTIFS(mercado_acoes!E:E,"RENT3",mercado_acoes!H:H,"&gt;=01/07/2023",mercado_acoes!H:H,"&lt;=31/07/2023")</f>
        <v>7</v>
      </c>
      <c r="O15" s="60">
        <f t="array" ref="O15">COUNTIFS(mercado_acoes!E:E,"RENT3",mercado_acoes!H:H,"&gt;=01/08/2023",mercado_acoes!H:H,"&lt;=31/08/2023")</f>
        <v>10</v>
      </c>
      <c r="P15" s="60">
        <f t="array" ref="P15">COUNTIFS(mercado_acoes!E:E,"RENT3",mercado_acoes!H:H,"&gt;=01/09/2023",mercado_acoes!H:H,"&lt;=30/09/2023")</f>
        <v>5</v>
      </c>
      <c r="Q15" s="60">
        <f t="array" ref="Q15">COUNTIFS(mercado_acoes!E:E,"RENT3",mercado_acoes!H:H,"&gt;=01/10/2023",mercado_acoes!H:H,"&lt;=31/10/2023")</f>
        <v>8</v>
      </c>
      <c r="R15" s="60">
        <f t="array" ref="R15">COUNTIFS(mercado_acoes!E:E,"RENT3",mercado_acoes!H:H,"&gt;=01/11/2023",mercado_acoes!H:H,"&lt;=30/11/2023")</f>
        <v>7</v>
      </c>
      <c r="S15" s="60">
        <f t="array" ref="S15">COUNTIFS(mercado_acoes!E:E,"RENT3",mercado_acoes!H:H,"&gt;=01/12/2023",mercado_acoes!H:H,"&lt;=31/12/2023")</f>
        <v>4</v>
      </c>
      <c r="T15" s="60">
        <f>COUNTIF(mercado_acoes!E:E,G15)</f>
        <v>96</v>
      </c>
    </row>
    <row r="16">
      <c r="G16" s="59" t="s">
        <v>56</v>
      </c>
      <c r="H16" s="60">
        <f t="array" ref="H16">COUNTIFS(mercado_acoes!E:E,"VALE3",mercado_acoes!H:H,"&gt;=01/01/2023",mercado_acoes!H:H,"&lt;=31/01/2023")</f>
        <v>13</v>
      </c>
      <c r="I16" s="60">
        <f t="array" ref="I16">COUNTIFS(mercado_acoes!E:E,"VALE3",mercado_acoes!H:H,"&gt;=01/02/2023",mercado_acoes!H:H,"&lt;=28/02/2023")</f>
        <v>5</v>
      </c>
      <c r="J16" s="60">
        <f t="array" ref="J16">COUNTIFS(mercado_acoes!E:E,"VALE3",mercado_acoes!H:H,"&gt;=01/03/2023",mercado_acoes!H:H,"&lt;=31/03/2023")</f>
        <v>7</v>
      </c>
      <c r="K16" s="60">
        <f t="array" ref="K16">COUNTIFS(mercado_acoes!E:E,"VALE3",mercado_acoes!H:H,"&gt;=01/04/2023",mercado_acoes!H:H,"&lt;=30/04/2023")</f>
        <v>10</v>
      </c>
      <c r="L16" s="60">
        <f t="array" ref="L16">COUNTIFS(mercado_acoes!E:E,"VALE3",mercado_acoes!H:H,"&gt;=01/05/2023",mercado_acoes!H:H,"&lt;=31/05/2023")</f>
        <v>8</v>
      </c>
      <c r="M16" s="60">
        <f t="array" ref="M16">COUNTIFS(mercado_acoes!E:E,"VALE3",mercado_acoes!H:H,"&gt;=01/06/2023",mercado_acoes!H:H,"&lt;=30/06/2023")</f>
        <v>5</v>
      </c>
      <c r="N16" s="60">
        <f t="array" ref="N16">COUNTIFS(mercado_acoes!E:E,"VALE3",mercado_acoes!H:H,"&gt;=01/07/2023",mercado_acoes!H:H,"&lt;=31/07/2023")</f>
        <v>9</v>
      </c>
      <c r="O16" s="60">
        <f t="array" ref="O16">COUNTIFS(mercado_acoes!E:E,"VALE3",mercado_acoes!H:H,"&gt;=01/08/2023",mercado_acoes!H:H,"&lt;=31/08/2023")</f>
        <v>7</v>
      </c>
      <c r="P16" s="60">
        <f t="array" ref="P16">COUNTIFS(mercado_acoes!E:E,"VALE3",mercado_acoes!H:H,"&gt;=01/09/2023",mercado_acoes!H:H,"&lt;=30/09/2023")</f>
        <v>6</v>
      </c>
      <c r="Q16" s="60">
        <f t="array" ref="Q16">COUNTIFS(mercado_acoes!E:E,"VALE3",mercado_acoes!H:H,"&gt;=01/10/2023",mercado_acoes!H:H,"&lt;=31/10/2023")</f>
        <v>9</v>
      </c>
      <c r="R16" s="60">
        <f t="array" ref="R16">COUNTIFS(mercado_acoes!E:E,"VALE3",mercado_acoes!H:H,"&gt;=01/11/2023",mercado_acoes!H:H,"&lt;=30/11/2023")</f>
        <v>6</v>
      </c>
      <c r="S16" s="60">
        <f t="array" ref="S16">COUNTIFS(mercado_acoes!E:E,"VALE3",mercado_acoes!H:H,"&gt;=01/12/2023",mercado_acoes!H:H,"&lt;=31/12/2023")</f>
        <v>12</v>
      </c>
      <c r="T16" s="60">
        <f>COUNTIF(mercado_acoes!E:E,G16)</f>
        <v>97</v>
      </c>
    </row>
    <row r="17">
      <c r="G17" s="59" t="s">
        <v>60</v>
      </c>
      <c r="H17" s="60">
        <f t="array" ref="H17">COUNTIFS(mercado_acoes!E:E,"BBAS3",mercado_acoes!H:H,"&gt;=01/01/2023",mercado_acoes!H:H,"&lt;=31/01/2023")</f>
        <v>9</v>
      </c>
      <c r="I17" s="60">
        <f t="array" ref="I17">COUNTIFS(mercado_acoes!E:E,"BBAS3",mercado_acoes!H:H,"&gt;=01/02/2023",mercado_acoes!H:H,"&lt;=28/02/2023")</f>
        <v>8</v>
      </c>
      <c r="J17" s="60">
        <f t="array" ref="J17">COUNTIFS(mercado_acoes!E:E,"BBAS3",mercado_acoes!H:H,"&gt;=01/03/2023",mercado_acoes!H:H,"&lt;=31/03/2023")</f>
        <v>3</v>
      </c>
      <c r="K17" s="60">
        <f t="array" ref="K17">COUNTIFS(mercado_acoes!E:E,"BBAS3",mercado_acoes!H:H,"&gt;=01/04/2023",mercado_acoes!H:H,"&lt;=30/04/2023")</f>
        <v>3</v>
      </c>
      <c r="L17" s="60">
        <f t="array" ref="L17">COUNTIFS(mercado_acoes!E:E,"BBAS3",mercado_acoes!H:H,"&gt;=01/05/2023",mercado_acoes!H:H,"&lt;=31/05/2023")</f>
        <v>9</v>
      </c>
      <c r="M17" s="60">
        <f t="array" ref="M17">COUNTIFS(mercado_acoes!E:E,"BBAS3",mercado_acoes!H:H,"&gt;=01/06/2023",mercado_acoes!H:H,"&lt;=30/06/2023")</f>
        <v>3</v>
      </c>
      <c r="N17" s="60">
        <f t="array" ref="N17">COUNTIFS(mercado_acoes!E:E,"BBAS3",mercado_acoes!H:H,"&gt;=01/07/2023",mercado_acoes!H:H,"&lt;=31/07/2023")</f>
        <v>8</v>
      </c>
      <c r="O17" s="60">
        <f t="array" ref="O17">COUNTIFS(mercado_acoes!E:E,"BBAS3",mercado_acoes!H:H,"&gt;=01/08/2023",mercado_acoes!H:H,"&lt;=31/08/2023")</f>
        <v>9</v>
      </c>
      <c r="P17" s="60">
        <f t="array" ref="P17">COUNTIFS(mercado_acoes!E:E,"BBAS3",mercado_acoes!H:H,"&gt;=01/09/2023",mercado_acoes!H:H,"&lt;=30/09/2023")</f>
        <v>9</v>
      </c>
      <c r="Q17" s="60">
        <f t="array" ref="Q17">COUNTIFS(mercado_acoes!E:E,"BBAS3",mercado_acoes!H:H,"&gt;=01/10/2023",mercado_acoes!H:H,"&lt;=31/10/2023")</f>
        <v>6</v>
      </c>
      <c r="R17" s="60">
        <f t="array" ref="R17">COUNTIFS(mercado_acoes!E:E,"BBAS3",mercado_acoes!H:H,"&gt;=01/11/2023",mercado_acoes!H:H,"&lt;=30/11/2023")</f>
        <v>14</v>
      </c>
      <c r="S17" s="60">
        <f t="array" ref="S17">COUNTIFS(mercado_acoes!E:E,"BBAS3",mercado_acoes!H:H,"&gt;=01/12/2023",mercado_acoes!H:H,"&lt;=31/12/2023")</f>
        <v>6</v>
      </c>
      <c r="T17" s="60">
        <f>COUNTIF(mercado_acoes!E:E,G17)</f>
        <v>87</v>
      </c>
    </row>
    <row r="18">
      <c r="G18" s="59" t="s">
        <v>68</v>
      </c>
      <c r="H18" s="60">
        <f t="array" ref="H18">COUNTIFS(mercado_acoes!E:E,"BHIA3",mercado_acoes!H:H,"&gt;=01/01/2023",mercado_acoes!H:H,"&lt;=31/01/2023")</f>
        <v>10</v>
      </c>
      <c r="I18" s="60">
        <f t="array" ref="I18">COUNTIFS(mercado_acoes!E:E,"BHIA3",mercado_acoes!H:H,"&gt;=01/02/2023",mercado_acoes!H:H,"&lt;=28/02/2023")</f>
        <v>7</v>
      </c>
      <c r="J18" s="60">
        <f t="array" ref="J18">COUNTIFS(mercado_acoes!E:E,"BHIA3",mercado_acoes!H:H,"&gt;=01/03/2023",mercado_acoes!H:H,"&lt;=31/03/2023")</f>
        <v>9</v>
      </c>
      <c r="K18" s="60">
        <f t="array" ref="K18">COUNTIFS(mercado_acoes!E:E,"BHIA3",mercado_acoes!H:H,"&gt;=01/04/2023",mercado_acoes!H:H,"&lt;=30/04/2023")</f>
        <v>8</v>
      </c>
      <c r="L18" s="60">
        <f t="array" ref="L18">COUNTIFS(mercado_acoes!E:E,"BHIA3",mercado_acoes!H:H,"&gt;=01/05/2023",mercado_acoes!H:H,"&lt;=31/05/2023")</f>
        <v>12</v>
      </c>
      <c r="M18" s="60">
        <f t="array" ref="M18">COUNTIFS(mercado_acoes!E:E,"BHIA3",mercado_acoes!H:H,"&gt;=01/06/2023",mercado_acoes!H:H,"&lt;=30/06/2023")</f>
        <v>10</v>
      </c>
      <c r="N18" s="60">
        <f t="array" ref="N18">COUNTIFS(mercado_acoes!E:E,"BHIA3",mercado_acoes!H:H,"&gt;=01/07/2023",mercado_acoes!H:H,"&lt;=31/07/2023")</f>
        <v>7</v>
      </c>
      <c r="O18" s="60">
        <f t="array" ref="O18">COUNTIFS(mercado_acoes!E:E,"BHIA3",mercado_acoes!H:H,"&gt;=01/08/2023",mercado_acoes!H:H,"&lt;=31/08/2023")</f>
        <v>8</v>
      </c>
      <c r="P18" s="60">
        <f t="array" ref="P18">COUNTIFS(mercado_acoes!E:E,"BHIA3",mercado_acoes!H:H,"&gt;=01/09/2023",mercado_acoes!H:H,"&lt;=30/09/2023")</f>
        <v>6</v>
      </c>
      <c r="Q18" s="60">
        <f t="array" ref="Q18">COUNTIFS(mercado_acoes!E:E,"BHIA3",mercado_acoes!H:H,"&gt;=01/10/2023",mercado_acoes!H:H,"&lt;=31/10/2023")</f>
        <v>4</v>
      </c>
      <c r="R18" s="60">
        <f t="array" ref="R18">COUNTIFS(mercado_acoes!E:E,"BHIA3",mercado_acoes!H:H,"&gt;=01/11/2023",mercado_acoes!H:H,"&lt;=30/11/2023")</f>
        <v>10</v>
      </c>
      <c r="S18" s="60">
        <f t="array" ref="S18">COUNTIFS(mercado_acoes!E:E,"BHIA3",mercado_acoes!H:H,"&gt;=01/12/2023",mercado_acoes!H:H,"&lt;=31/12/2023")</f>
        <v>8</v>
      </c>
      <c r="T18" s="60">
        <f>COUNTIF(mercado_acoes!E:E,G18)</f>
        <v>99</v>
      </c>
    </row>
    <row r="19">
      <c r="G19" s="59" t="s">
        <v>72</v>
      </c>
      <c r="H19" s="60">
        <f t="array" ref="H19">COUNTIFS(mercado_acoes!E:E,"JBSS3",mercado_acoes!H:H,"&gt;=01/01/2023",mercado_acoes!H:H,"&lt;=31/01/2023")</f>
        <v>6</v>
      </c>
      <c r="I19" s="60">
        <f t="array" ref="I19">COUNTIFS(mercado_acoes!E:E,"JBSS3",mercado_acoes!H:H,"&gt;=01/02/2023",mercado_acoes!H:H,"&lt;=28/02/2023")</f>
        <v>8</v>
      </c>
      <c r="J19" s="60">
        <f t="array" ref="J19">COUNTIFS(mercado_acoes!E:E,"JBSS3",mercado_acoes!H:H,"&gt;=01/03/2023",mercado_acoes!H:H,"&lt;=31/03/2023")</f>
        <v>9</v>
      </c>
      <c r="K19" s="60">
        <f t="array" ref="K19">COUNTIFS(mercado_acoes!E:E,"JBSS3",mercado_acoes!H:H,"&gt;=01/04/2023",mercado_acoes!H:H,"&lt;=30/04/2023")</f>
        <v>8</v>
      </c>
      <c r="L19" s="60">
        <f t="array" ref="L19">COUNTIFS(mercado_acoes!E:E,"JBSS3",mercado_acoes!H:H,"&gt;=01/05/2023",mercado_acoes!H:H,"&lt;=31/05/2023")</f>
        <v>10</v>
      </c>
      <c r="M19" s="60">
        <f t="array" ref="M19">COUNTIFS(mercado_acoes!E:E,"JBSS3",mercado_acoes!H:H,"&gt;=01/06/2023",mercado_acoes!H:H,"&lt;=30/06/2023")</f>
        <v>14</v>
      </c>
      <c r="N19" s="60">
        <f t="array" ref="N19">COUNTIFS(mercado_acoes!E:E,"JBSS3",mercado_acoes!H:H,"&gt;=01/07/2023",mercado_acoes!H:H,"&lt;=31/07/2023")</f>
        <v>6</v>
      </c>
      <c r="O19" s="60">
        <f t="array" ref="O19">COUNTIFS(mercado_acoes!E:E,"JBSS3",mercado_acoes!H:H,"&gt;=01/08/2023",mercado_acoes!H:H,"&lt;=31/08/2023")</f>
        <v>10</v>
      </c>
      <c r="P19" s="60">
        <f t="array" ref="P19">COUNTIFS(mercado_acoes!E:E,"JBSS3",mercado_acoes!H:H,"&gt;=01/09/2023",mercado_acoes!H:H,"&lt;=30/09/2023")</f>
        <v>3</v>
      </c>
      <c r="Q19" s="60">
        <f t="array" ref="Q19">COUNTIFS(mercado_acoes!E:E,"JBSS3",mercado_acoes!H:H,"&gt;=01/10/2023",mercado_acoes!H:H,"&lt;=31/10/2023")</f>
        <v>11</v>
      </c>
      <c r="R19" s="60">
        <f t="array" ref="R19">COUNTIFS(mercado_acoes!E:E,"JBSS3",mercado_acoes!H:H,"&gt;=01/11/2023",mercado_acoes!H:H,"&lt;=30/11/2023")</f>
        <v>6</v>
      </c>
      <c r="S19" s="60">
        <f t="array" ref="S19">COUNTIFS(mercado_acoes!E:E,"JBSS3",mercado_acoes!H:H,"&gt;=01/12/2023",mercado_acoes!H:H,"&lt;=31/12/2023")</f>
        <v>9</v>
      </c>
      <c r="T19" s="60">
        <f>COUNTIF(mercado_acoes!E:E,G19)</f>
        <v>100</v>
      </c>
    </row>
    <row r="20">
      <c r="G20" s="59" t="s">
        <v>76</v>
      </c>
      <c r="H20" s="60">
        <f t="array" ref="H20">COUNTIFS(mercado_acoes!E:E,"TAEE4",mercado_acoes!H:H,"&gt;=01/01/2023",mercado_acoes!H:H,"&lt;=31/01/2023")</f>
        <v>8</v>
      </c>
      <c r="I20" s="60">
        <f t="array" ref="I20">COUNTIFS(mercado_acoes!E:E,"TAEE4",mercado_acoes!H:H,"&gt;=01/02/2023",mercado_acoes!H:H,"&lt;=28/02/2023")</f>
        <v>8</v>
      </c>
      <c r="J20" s="60">
        <f t="array" ref="J20">COUNTIFS(mercado_acoes!E:E,"TAEE4",mercado_acoes!H:H,"&gt;=01/03/2023",mercado_acoes!H:H,"&lt;=31/03/2023")</f>
        <v>3</v>
      </c>
      <c r="K20" s="60">
        <f t="array" ref="K20">COUNTIFS(mercado_acoes!E:E,"TAEE4",mercado_acoes!H:H,"&gt;=01/04/2023",mercado_acoes!H:H,"&lt;=30/04/2023")</f>
        <v>6</v>
      </c>
      <c r="L20" s="60">
        <f t="array" ref="L20">COUNTIFS(mercado_acoes!E:E,"TAEE4",mercado_acoes!H:H,"&gt;=01/05/2023",mercado_acoes!H:H,"&lt;=31/05/2023")</f>
        <v>2</v>
      </c>
      <c r="M20" s="60">
        <f t="array" ref="M20">COUNTIFS(mercado_acoes!E:E,"TAEE4",mercado_acoes!H:H,"&gt;=01/06/2023",mercado_acoes!H:H,"&lt;=30/06/2023")</f>
        <v>9</v>
      </c>
      <c r="N20" s="60">
        <f t="array" ref="N20">COUNTIFS(mercado_acoes!E:E,"TAEE4",mercado_acoes!H:H,"&gt;=01/07/2023",mercado_acoes!H:H,"&lt;=31/07/2023")</f>
        <v>9</v>
      </c>
      <c r="O20" s="60">
        <f t="array" ref="O20">COUNTIFS(mercado_acoes!E:E,"TAEE4",mercado_acoes!H:H,"&gt;=01/08/2023",mercado_acoes!H:H,"&lt;=31/08/2023")</f>
        <v>4</v>
      </c>
      <c r="P20" s="60">
        <f t="array" ref="P20">COUNTIFS(mercado_acoes!E:E,"TAEE4",mercado_acoes!H:H,"&gt;=01/09/2023",mercado_acoes!H:H,"&lt;=30/09/2023")</f>
        <v>6</v>
      </c>
      <c r="Q20" s="60">
        <f t="array" ref="Q20">COUNTIFS(mercado_acoes!E:E,"TAEE4",mercado_acoes!H:H,"&gt;=01/10/2023",mercado_acoes!H:H,"&lt;=31/10/2023")</f>
        <v>5</v>
      </c>
      <c r="R20" s="60">
        <f t="array" ref="R20">COUNTIFS(mercado_acoes!E:E,"TAEE4",mercado_acoes!H:H,"&gt;=01/11/2023",mercado_acoes!H:H,"&lt;=30/11/2023")</f>
        <v>10</v>
      </c>
      <c r="S20" s="60">
        <f t="array" ref="S20">COUNTIFS(mercado_acoes!E:E,"TAEE4",mercado_acoes!H:H,"&gt;=01/12/2023",mercado_acoes!H:H,"&lt;=31/12/2023")</f>
        <v>11</v>
      </c>
      <c r="T20" s="60">
        <f>COUNTIF(mercado_acoes!E:E,G20)</f>
        <v>81</v>
      </c>
    </row>
    <row r="21">
      <c r="G21" s="59" t="s">
        <v>79</v>
      </c>
      <c r="H21" s="60">
        <f t="array" ref="H21">COUNTIFS(mercado_acoes!E:E,"CPFE3",mercado_acoes!H:H,"&gt;=01/01/2023",mercado_acoes!H:H,"&lt;=31/01/2023")</f>
        <v>5</v>
      </c>
      <c r="I21" s="60">
        <f t="array" ref="I21">COUNTIFS(mercado_acoes!E:E,"CPFE3",mercado_acoes!H:H,"&gt;=01/02/2023",mercado_acoes!H:H,"&lt;=28/02/2023")</f>
        <v>8</v>
      </c>
      <c r="J21" s="60">
        <f t="array" ref="J21">COUNTIFS(mercado_acoes!E:E,"CPFE3",mercado_acoes!H:H,"&gt;=01/03/2023",mercado_acoes!H:H,"&lt;=31/03/2023")</f>
        <v>5</v>
      </c>
      <c r="K21" s="60">
        <f t="array" ref="K21">COUNTIFS(mercado_acoes!E:E,"CPFE3",mercado_acoes!H:H,"&gt;=01/04/2023",mercado_acoes!H:H,"&lt;=30/04/2023")</f>
        <v>7</v>
      </c>
      <c r="L21" s="60">
        <f t="array" ref="L21">COUNTIFS(mercado_acoes!E:E,"CPFE3",mercado_acoes!H:H,"&gt;=01/05/2023",mercado_acoes!H:H,"&lt;=31/05/2023")</f>
        <v>7</v>
      </c>
      <c r="M21" s="60">
        <f t="array" ref="M21">COUNTIFS(mercado_acoes!E:E,"CPFE3",mercado_acoes!H:H,"&gt;=01/06/2023",mercado_acoes!H:H,"&lt;=30/06/2023")</f>
        <v>4</v>
      </c>
      <c r="N21" s="60">
        <f t="array" ref="N21">COUNTIFS(mercado_acoes!E:E,"CPFE3",mercado_acoes!H:H,"&gt;=01/07/2023",mercado_acoes!H:H,"&lt;=31/07/2023")</f>
        <v>14</v>
      </c>
      <c r="O21" s="60">
        <f t="array" ref="O21">COUNTIFS(mercado_acoes!E:E,"CPFE3",mercado_acoes!H:H,"&gt;=01/08/2023",mercado_acoes!H:H,"&lt;=31/08/2023")</f>
        <v>7</v>
      </c>
      <c r="P21" s="60">
        <f t="array" ref="P21">COUNTIFS(mercado_acoes!E:E,"CPFE3",mercado_acoes!H:H,"&gt;=01/09/2023",mercado_acoes!H:H,"&lt;=30/09/2023")</f>
        <v>5</v>
      </c>
      <c r="Q21" s="60">
        <f t="array" ref="Q21">COUNTIFS(mercado_acoes!E:E,"CPFE3",mercado_acoes!H:H,"&gt;=01/10/2023",mercado_acoes!H:H,"&lt;=31/10/2023")</f>
        <v>7</v>
      </c>
      <c r="R21" s="60">
        <f t="array" ref="R21">COUNTIFS(mercado_acoes!E:E,"CPFE3",mercado_acoes!H:H,"&gt;=01/11/2023",mercado_acoes!H:H,"&lt;=30/11/2023")</f>
        <v>10</v>
      </c>
      <c r="S21" s="60">
        <f t="array" ref="S21">COUNTIFS(mercado_acoes!E:E,"CPFE3",mercado_acoes!H:H,"&gt;=01/12/2023",mercado_acoes!H:H,"&lt;=31/12/2023")</f>
        <v>7</v>
      </c>
      <c r="T21" s="60">
        <f>COUNTIF(mercado_acoes!E:E,G21)</f>
        <v>86</v>
      </c>
    </row>
    <row r="22">
      <c r="G22" s="59" t="s">
        <v>82</v>
      </c>
      <c r="H22" s="60">
        <f t="array" ref="H22">COUNTIFS(mercado_acoes!E:E,"B3SA3",mercado_acoes!H:H,"&gt;=01/01/2023",mercado_acoes!H:H,"&lt;=31/01/2023")</f>
        <v>6</v>
      </c>
      <c r="I22" s="60">
        <f t="array" ref="I22">COUNTIFS(mercado_acoes!E:E,"B3SA3",mercado_acoes!H:H,"&gt;=01/02/2023",mercado_acoes!H:H,"&lt;=28/02/2023")</f>
        <v>3</v>
      </c>
      <c r="J22" s="60">
        <f t="array" ref="J22">COUNTIFS(mercado_acoes!E:E,"B3SA3",mercado_acoes!H:H,"&gt;=01/03/2023",mercado_acoes!H:H,"&lt;=31/03/2023")</f>
        <v>6</v>
      </c>
      <c r="K22" s="60">
        <f t="array" ref="K22">COUNTIFS(mercado_acoes!E:E,"B3SA3",mercado_acoes!H:H,"&gt;=01/04/2023",mercado_acoes!H:H,"&lt;=30/04/2023")</f>
        <v>11</v>
      </c>
      <c r="L22" s="60">
        <f t="array" ref="L22">COUNTIFS(mercado_acoes!E:E,"B3SA3",mercado_acoes!H:H,"&gt;=01/05/2023",mercado_acoes!H:H,"&lt;=31/05/2023")</f>
        <v>8</v>
      </c>
      <c r="M22" s="60">
        <f t="array" ref="M22">COUNTIFS(mercado_acoes!E:E,"B3SA3",mercado_acoes!H:H,"&gt;=01/06/2023",mercado_acoes!H:H,"&lt;=30/06/2023")</f>
        <v>9</v>
      </c>
      <c r="N22" s="60">
        <f t="array" ref="N22">COUNTIFS(mercado_acoes!E:E,"B3SA3",mercado_acoes!H:H,"&gt;=01/07/2023",mercado_acoes!H:H,"&lt;=31/07/2023")</f>
        <v>6</v>
      </c>
      <c r="O22" s="60">
        <f t="array" ref="O22">COUNTIFS(mercado_acoes!E:E,"B3SA3",mercado_acoes!H:H,"&gt;=01/08/2023",mercado_acoes!H:H,"&lt;=31/08/2023")</f>
        <v>11</v>
      </c>
      <c r="P22" s="60">
        <f t="array" ref="P22">COUNTIFS(mercado_acoes!E:E,"B3SA3",mercado_acoes!H:H,"&gt;=01/09/2023",mercado_acoes!H:H,"&lt;=30/09/2023")</f>
        <v>9</v>
      </c>
      <c r="Q22" s="60">
        <f t="array" ref="Q22">COUNTIFS(mercado_acoes!E:E,"B3SA3",mercado_acoes!H:H,"&gt;=01/10/2023",mercado_acoes!H:H,"&lt;=31/10/2023")</f>
        <v>9</v>
      </c>
      <c r="R22" s="60">
        <f t="array" ref="R22">COUNTIFS(mercado_acoes!E:E,"B3SA3",mercado_acoes!H:H,"&gt;=01/11/2023",mercado_acoes!H:H,"&lt;=30/11/2023")</f>
        <v>9</v>
      </c>
      <c r="S22" s="60">
        <f t="array" ref="S22">COUNTIFS(mercado_acoes!E:E,"B3SA3",mercado_acoes!H:H,"&gt;=01/12/2023",mercado_acoes!H:H,"&lt;=31/12/2023")</f>
        <v>13</v>
      </c>
      <c r="T22" s="60">
        <f>COUNTIF(mercado_acoes!E:E,G22)</f>
        <v>100</v>
      </c>
    </row>
    <row r="23">
      <c r="G23" s="59" t="s">
        <v>85</v>
      </c>
      <c r="H23" s="60">
        <f t="array" ref="H23">COUNTIFS(mercado_acoes!E:E,"BBDC4",mercado_acoes!H:H,"&gt;=01/01/2023",mercado_acoes!H:H,"&lt;=31/01/2023")</f>
        <v>4</v>
      </c>
      <c r="I23" s="60">
        <f t="array" ref="I23">COUNTIFS(mercado_acoes!E:E,"BBDC4",mercado_acoes!H:H,"&gt;=01/02/2023",mercado_acoes!H:H,"&lt;=28/02/2023")</f>
        <v>7</v>
      </c>
      <c r="J23" s="60">
        <f t="array" ref="J23">COUNTIFS(mercado_acoes!E:E,"BBDC4",mercado_acoes!H:H,"&gt;=01/03/2023",mercado_acoes!H:H,"&lt;=31/03/2023")</f>
        <v>9</v>
      </c>
      <c r="K23" s="60">
        <f t="array" ref="K23">COUNTIFS(mercado_acoes!E:E,"BBDC4",mercado_acoes!H:H,"&gt;=01/04/2023",mercado_acoes!H:H,"&lt;=30/04/2023")</f>
        <v>6</v>
      </c>
      <c r="L23" s="60">
        <f t="array" ref="L23">COUNTIFS(mercado_acoes!E:E,"BBDC4",mercado_acoes!H:H,"&gt;=01/05/2023",mercado_acoes!H:H,"&lt;=31/05/2023")</f>
        <v>7</v>
      </c>
      <c r="M23" s="60">
        <f t="array" ref="M23">COUNTIFS(mercado_acoes!E:E,"BBDC4",mercado_acoes!H:H,"&gt;=01/06/2023",mercado_acoes!H:H,"&lt;=30/06/2023")</f>
        <v>10</v>
      </c>
      <c r="N23" s="60">
        <f t="array" ref="N23">COUNTIFS(mercado_acoes!E:E,"BBDC4",mercado_acoes!H:H,"&gt;=01/07/2023",mercado_acoes!H:H,"&lt;=31/07/2023")</f>
        <v>5</v>
      </c>
      <c r="O23" s="60">
        <f t="array" ref="O23">COUNTIFS(mercado_acoes!E:E,"BBDC4",mercado_acoes!H:H,"&gt;=01/08/2023",mercado_acoes!H:H,"&lt;=31/08/2023")</f>
        <v>8</v>
      </c>
      <c r="P23" s="60">
        <f t="array" ref="P23">COUNTIFS(mercado_acoes!E:E,"BBDC4",mercado_acoes!H:H,"&gt;=01/09/2023",mercado_acoes!H:H,"&lt;=30/09/2023")</f>
        <v>7</v>
      </c>
      <c r="Q23" s="60">
        <f t="array" ref="Q23">COUNTIFS(mercado_acoes!E:E,"BBDC4",mercado_acoes!H:H,"&gt;=01/10/2023",mercado_acoes!H:H,"&lt;=31/10/2023")</f>
        <v>11</v>
      </c>
      <c r="R23" s="60">
        <f t="array" ref="R23">COUNTIFS(mercado_acoes!E:E,"BBDC4",mercado_acoes!H:H,"&gt;=01/11/2023",mercado_acoes!H:H,"&lt;=30/11/2023")</f>
        <v>15</v>
      </c>
      <c r="S23" s="60">
        <f t="array" ref="S23">COUNTIFS(mercado_acoes!E:E,"BBDC4",mercado_acoes!H:H,"&gt;=01/12/2023",mercado_acoes!H:H,"&lt;=31/12/2023")</f>
        <v>15</v>
      </c>
      <c r="T23" s="60">
        <f>COUNTIF(mercado_acoes!E:E,G23)</f>
        <v>104</v>
      </c>
    </row>
    <row r="24">
      <c r="G24" s="59" t="s">
        <v>88</v>
      </c>
      <c r="H24" s="60">
        <f t="array" ref="H24">COUNTIFS(mercado_acoes!E:E,"WEGE3",mercado_acoes!H:H,"&gt;=01/01/2023",mercado_acoes!H:H,"&lt;=31/01/2023")</f>
        <v>9</v>
      </c>
      <c r="I24" s="60">
        <f t="array" ref="I24">COUNTIFS(mercado_acoes!E:E,"WEGE3",mercado_acoes!H:H,"&gt;=01/02/2023",mercado_acoes!H:H,"&lt;=28/02/2023")</f>
        <v>7</v>
      </c>
      <c r="J24" s="60">
        <f t="array" ref="J24">COUNTIFS(mercado_acoes!E:E,"WEGE3",mercado_acoes!H:H,"&gt;=01/03/2023",mercado_acoes!H:H,"&lt;=31/03/2023")</f>
        <v>14</v>
      </c>
      <c r="K24" s="60">
        <f t="array" ref="K24">COUNTIFS(mercado_acoes!E:E,"WEGE3",mercado_acoes!H:H,"&gt;=01/04/2023",mercado_acoes!H:H,"&lt;=30/04/2023")</f>
        <v>10</v>
      </c>
      <c r="L24" s="60">
        <f t="array" ref="L24">COUNTIFS(mercado_acoes!E:E,"WEGE3",mercado_acoes!H:H,"&gt;=01/05/2023",mercado_acoes!H:H,"&lt;=31/05/2023")</f>
        <v>14</v>
      </c>
      <c r="M24" s="60">
        <f t="array" ref="M24">COUNTIFS(mercado_acoes!E:E,"WEGE3",mercado_acoes!H:H,"&gt;=01/06/2023",mercado_acoes!H:H,"&lt;=30/06/2023")</f>
        <v>10</v>
      </c>
      <c r="N24" s="60">
        <f t="array" ref="N24">COUNTIFS(mercado_acoes!E:E,"WEGE3",mercado_acoes!H:H,"&gt;=01/07/2023",mercado_acoes!H:H,"&lt;=31/07/2023")</f>
        <v>7</v>
      </c>
      <c r="O24" s="60">
        <f t="array" ref="O24">COUNTIFS(mercado_acoes!E:E,"WEGE3",mercado_acoes!H:H,"&gt;=01/08/2023",mercado_acoes!H:H,"&lt;=31/08/2023")</f>
        <v>10</v>
      </c>
      <c r="P24" s="60">
        <f t="array" ref="P24">COUNTIFS(mercado_acoes!E:E,"WEGE3",mercado_acoes!H:H,"&gt;=01/09/2023",mercado_acoes!H:H,"&lt;=30/09/2023")</f>
        <v>13</v>
      </c>
      <c r="Q24" s="60">
        <f t="array" ref="Q24">COUNTIFS(mercado_acoes!E:E,"WEGE3",mercado_acoes!H:H,"&gt;=01/10/2023",mercado_acoes!H:H,"&lt;=31/10/2023")</f>
        <v>7</v>
      </c>
      <c r="R24" s="60">
        <f t="array" ref="R24">COUNTIFS(mercado_acoes!E:E,"WEGE3",mercado_acoes!H:H,"&gt;=01/11/2023",mercado_acoes!H:H,"&lt;=30/11/2023")</f>
        <v>13</v>
      </c>
      <c r="S24" s="60">
        <f t="array" ref="S24">COUNTIFS(mercado_acoes!E:E,"WEGE3",mercado_acoes!H:H,"&gt;=01/12/2023",mercado_acoes!H:H,"&lt;=31/12/2023")</f>
        <v>7</v>
      </c>
      <c r="T24" s="60">
        <f>COUNTIF(mercado_acoes!E:E,G24)</f>
        <v>121</v>
      </c>
    </row>
    <row r="25">
      <c r="G25" s="59" t="s">
        <v>91</v>
      </c>
      <c r="H25" s="60">
        <f t="array" ref="H25">COUNTIFS(mercado_acoes!E:E,"MGLU3",mercado_acoes!H:H,"&gt;=01/01/2023",mercado_acoes!H:H,"&lt;=31/01/2023")</f>
        <v>8</v>
      </c>
      <c r="I25" s="60">
        <f t="array" ref="I25">COUNTIFS(mercado_acoes!E:E,"MGLU3",mercado_acoes!H:H,"&gt;=01/02/2023",mercado_acoes!H:H,"&lt;=28/02/2023")</f>
        <v>15</v>
      </c>
      <c r="J25" s="60">
        <f t="array" ref="J25">COUNTIFS(mercado_acoes!E:E,"MGLU3",mercado_acoes!H:H,"&gt;=01/03/2023",mercado_acoes!H:H,"&lt;=31/03/2023")</f>
        <v>5</v>
      </c>
      <c r="K25" s="60">
        <f t="array" ref="K25">COUNTIFS(mercado_acoes!E:E,"MGLU3",mercado_acoes!H:H,"&gt;=01/04/2023",mercado_acoes!H:H,"&lt;=30/04/2023")</f>
        <v>11</v>
      </c>
      <c r="L25" s="60">
        <f t="array" ref="L25">COUNTIFS(mercado_acoes!E:E,"MGLU3",mercado_acoes!H:H,"&gt;=01/05/2023",mercado_acoes!H:H,"&lt;=31/05/2023")</f>
        <v>10</v>
      </c>
      <c r="M25" s="60">
        <f t="array" ref="M25">COUNTIFS(mercado_acoes!E:E,"MGLU3",mercado_acoes!H:H,"&gt;=01/06/2023",mercado_acoes!H:H,"&lt;=30/06/2023")</f>
        <v>13</v>
      </c>
      <c r="N25" s="60">
        <f t="array" ref="N25">COUNTIFS(mercado_acoes!E:E,"MGLU3",mercado_acoes!H:H,"&gt;=01/07/2023",mercado_acoes!H:H,"&lt;=31/07/2023")</f>
        <v>10</v>
      </c>
      <c r="O25" s="60">
        <f t="array" ref="O25">COUNTIFS(mercado_acoes!E:E,"MGLU3",mercado_acoes!H:H,"&gt;=01/08/2023",mercado_acoes!H:H,"&lt;=31/08/2023")</f>
        <v>10</v>
      </c>
      <c r="P25" s="60">
        <f t="array" ref="P25">COUNTIFS(mercado_acoes!E:E,"MGLU3",mercado_acoes!H:H,"&gt;=01/09/2023",mercado_acoes!H:H,"&lt;=30/09/2023")</f>
        <v>8</v>
      </c>
      <c r="Q25" s="60">
        <f t="array" ref="Q25">COUNTIFS(mercado_acoes!E:E,"MGLU3",mercado_acoes!H:H,"&gt;=01/10/2023",mercado_acoes!H:H,"&lt;=31/10/2023")</f>
        <v>10</v>
      </c>
      <c r="R25" s="60">
        <f t="array" ref="R25">COUNTIFS(mercado_acoes!E:E,"MGLU3",mercado_acoes!H:H,"&gt;=01/11/2023",mercado_acoes!H:H,"&lt;=30/11/2023")</f>
        <v>6</v>
      </c>
      <c r="S25" s="60">
        <f t="array" ref="S25">COUNTIFS(mercado_acoes!E:E,"MGLU3",mercado_acoes!H:H,"&gt;=01/12/2023",mercado_acoes!H:H,"&lt;=31/12/2023")</f>
        <v>4</v>
      </c>
      <c r="T25" s="60">
        <f>COUNTIF(mercado_acoes!E:E,G25)</f>
        <v>110</v>
      </c>
    </row>
    <row r="26">
      <c r="G26" s="59" t="s">
        <v>94</v>
      </c>
      <c r="H26" s="60">
        <f t="array" ref="H26">COUNTIFS(mercado_acoes!E:E,"SANB11",mercado_acoes!H:H,"&gt;=01/01/2023",mercado_acoes!H:H,"&lt;=31/01/2023")</f>
        <v>5</v>
      </c>
      <c r="I26" s="60">
        <f t="array" ref="I26">COUNTIFS(mercado_acoes!E:E,"SANB11",mercado_acoes!H:H,"&gt;=01/02/2023",mercado_acoes!H:H,"&lt;=28/02/2023")</f>
        <v>10</v>
      </c>
      <c r="J26" s="60">
        <f t="array" ref="J26">COUNTIFS(mercado_acoes!E:E,"SANB11",mercado_acoes!H:H,"&gt;=01/03/2023",mercado_acoes!H:H,"&lt;=31/03/2023")</f>
        <v>13</v>
      </c>
      <c r="K26" s="60">
        <f t="array" ref="K26">COUNTIFS(mercado_acoes!E:E,"SANB11",mercado_acoes!H:H,"&gt;=01/04/2023",mercado_acoes!H:H,"&lt;=30/04/2023")</f>
        <v>6</v>
      </c>
      <c r="L26" s="60">
        <f t="array" ref="L26">COUNTIFS(mercado_acoes!E:E,"SANB11",mercado_acoes!H:H,"&gt;=01/05/2023",mercado_acoes!H:H,"&lt;=31/05/2023")</f>
        <v>9</v>
      </c>
      <c r="M26" s="60">
        <f t="array" ref="M26">COUNTIFS(mercado_acoes!E:E,"SANB11",mercado_acoes!H:H,"&gt;=01/06/2023",mercado_acoes!H:H,"&lt;=30/06/2023")</f>
        <v>5</v>
      </c>
      <c r="N26" s="60">
        <f t="array" ref="N26">COUNTIFS(mercado_acoes!E:E,"SANB11",mercado_acoes!H:H,"&gt;=01/07/2023",mercado_acoes!H:H,"&lt;=31/07/2023")</f>
        <v>3</v>
      </c>
      <c r="O26" s="60">
        <f t="array" ref="O26">COUNTIFS(mercado_acoes!E:E,"SANB11",mercado_acoes!H:H,"&gt;=01/08/2023",mercado_acoes!H:H,"&lt;=31/08/2023")</f>
        <v>16</v>
      </c>
      <c r="P26" s="60">
        <f t="array" ref="P26">COUNTIFS(mercado_acoes!E:E,"SANB11",mercado_acoes!H:H,"&gt;=01/09/2023",mercado_acoes!H:H,"&lt;=30/09/2023")</f>
        <v>7</v>
      </c>
      <c r="Q26" s="60">
        <f t="array" ref="Q26">COUNTIFS(mercado_acoes!E:E,"SANB11",mercado_acoes!H:H,"&gt;=01/10/2023",mercado_acoes!H:H,"&lt;=31/10/2023")</f>
        <v>7</v>
      </c>
      <c r="R26" s="60">
        <f t="array" ref="R26">COUNTIFS(mercado_acoes!E:E,"SANB11",mercado_acoes!H:H,"&gt;=01/11/2023",mercado_acoes!H:H,"&lt;=30/11/2023")</f>
        <v>8</v>
      </c>
      <c r="S26" s="60">
        <f t="array" ref="S26">COUNTIFS(mercado_acoes!E:E,"SANB11",mercado_acoes!H:H,"&gt;=01/12/2023",mercado_acoes!H:H,"&lt;=31/12/2023")</f>
        <v>13</v>
      </c>
      <c r="T26" s="60">
        <f>COUNTIF(mercado_acoes!E:E,G26)</f>
        <v>102</v>
      </c>
    </row>
    <row r="27">
      <c r="G27" s="59" t="s">
        <v>97</v>
      </c>
      <c r="H27" s="60">
        <f t="array" ref="H27">COUNTIFS(mercado_acoes!E:E,"HAPV3",mercado_acoes!H:H,"&gt;=01/01/2023",mercado_acoes!H:H,"&lt;=31/01/2023")</f>
        <v>7</v>
      </c>
      <c r="I27" s="60">
        <f t="array" ref="I27">COUNTIFS(mercado_acoes!E:E,"HAPV3",mercado_acoes!H:H,"&gt;=01/02/2023",mercado_acoes!H:H,"&lt;=28/02/2023")</f>
        <v>12</v>
      </c>
      <c r="J27" s="60">
        <f t="array" ref="J27">COUNTIFS(mercado_acoes!E:E,"HAPV3",mercado_acoes!H:H,"&gt;=01/03/2023",mercado_acoes!H:H,"&lt;=31/03/2023")</f>
        <v>8</v>
      </c>
      <c r="K27" s="60">
        <f t="array" ref="K27">COUNTIFS(mercado_acoes!E:E,"HAPV3",mercado_acoes!H:H,"&gt;=01/04/2023",mercado_acoes!H:H,"&lt;=30/04/2023")</f>
        <v>8</v>
      </c>
      <c r="L27" s="60">
        <f t="array" ref="L27">COUNTIFS(mercado_acoes!E:E,"HAPV3",mercado_acoes!H:H,"&gt;=01/05/2023",mercado_acoes!H:H,"&lt;=31/05/2023")</f>
        <v>6</v>
      </c>
      <c r="M27" s="60">
        <f t="array" ref="M27">COUNTIFS(mercado_acoes!E:E,"HAPV3",mercado_acoes!H:H,"&gt;=01/06/2023",mercado_acoes!H:H,"&lt;=30/06/2023")</f>
        <v>12</v>
      </c>
      <c r="N27" s="60">
        <f t="array" ref="N27">COUNTIFS(mercado_acoes!E:E,"HAPV3",mercado_acoes!H:H,"&gt;=01/07/2023",mercado_acoes!H:H,"&lt;=31/07/2023")</f>
        <v>10</v>
      </c>
      <c r="O27" s="60">
        <f t="array" ref="O27">COUNTIFS(mercado_acoes!E:E,"HAPV3",mercado_acoes!H:H,"&gt;=01/08/2023",mercado_acoes!H:H,"&lt;=31/08/2023")</f>
        <v>13</v>
      </c>
      <c r="P27" s="60">
        <f t="array" ref="P27">COUNTIFS(mercado_acoes!E:E,"HAPV3",mercado_acoes!H:H,"&gt;=01/09/2023",mercado_acoes!H:H,"&lt;=30/09/2023")</f>
        <v>17</v>
      </c>
      <c r="Q27" s="60">
        <f t="array" ref="Q27">COUNTIFS(mercado_acoes!E:E,"HAPV3",mercado_acoes!H:H,"&gt;=01/10/2023",mercado_acoes!H:H,"&lt;=31/10/2023")</f>
        <v>6</v>
      </c>
      <c r="R27" s="60">
        <f t="array" ref="R27">COUNTIFS(mercado_acoes!E:E,"HAPV3",mercado_acoes!H:H,"&gt;=01/11/2023",mercado_acoes!H:H,"&lt;=30/11/2023")</f>
        <v>7</v>
      </c>
      <c r="S27" s="60">
        <f t="array" ref="S27">COUNTIFS(mercado_acoes!E:E,"HAPV3",mercado_acoes!H:H,"&gt;=01/12/2023",mercado_acoes!H:H,"&lt;=31/12/2023")</f>
        <v>6</v>
      </c>
      <c r="T27" s="60">
        <f>COUNTIF(mercado_acoes!E:E,G27)</f>
        <v>112</v>
      </c>
    </row>
    <row r="28">
      <c r="G28" s="8"/>
    </row>
    <row r="29">
      <c r="G29" s="8"/>
      <c r="L29" s="58" t="s">
        <v>260</v>
      </c>
      <c r="M29" s="62"/>
      <c r="N29" s="60"/>
      <c r="O29" s="58" t="s">
        <v>8</v>
      </c>
      <c r="P29" s="58" t="s">
        <v>13</v>
      </c>
    </row>
    <row r="30">
      <c r="G30" s="8"/>
      <c r="L30" s="59" t="s">
        <v>76</v>
      </c>
      <c r="M30" s="60">
        <f>MIN(T8:T27)</f>
        <v>81</v>
      </c>
      <c r="N30" s="61">
        <v>1.0</v>
      </c>
      <c r="O30" s="63" t="s">
        <v>32</v>
      </c>
      <c r="P30" s="60">
        <f>COUNTIFS(mercado_acoes!H:H,"&gt;=01/01/2023",mercado_acoes!H:H,"&lt;=31/01/2023")</f>
        <v>152</v>
      </c>
    </row>
    <row r="31">
      <c r="G31" s="8"/>
      <c r="L31" s="58" t="s">
        <v>260</v>
      </c>
      <c r="M31" s="60"/>
      <c r="N31" s="61">
        <v>2.0</v>
      </c>
      <c r="O31" s="61" t="s">
        <v>36</v>
      </c>
      <c r="P31" s="60">
        <f>COUNTIFS(mercado_acoes!H:H,"&gt;=01/02/2023",mercado_acoes!H:H,"&lt;=28/02/2023")</f>
        <v>172</v>
      </c>
    </row>
    <row r="32">
      <c r="G32" s="8"/>
      <c r="L32" s="61" t="s">
        <v>88</v>
      </c>
      <c r="M32" s="60">
        <f>MAX(T8:T27)</f>
        <v>121</v>
      </c>
      <c r="N32" s="61">
        <v>3.0</v>
      </c>
      <c r="O32" s="61" t="s">
        <v>40</v>
      </c>
      <c r="P32" s="60">
        <f>COUNTIFS(mercado_acoes!H:H,"&gt;=01/03/2023",mercado_acoes!H:H,"&lt;=31/03/2023")</f>
        <v>148</v>
      </c>
    </row>
    <row r="33">
      <c r="G33" s="8"/>
      <c r="L33" s="58" t="s">
        <v>105</v>
      </c>
      <c r="M33" s="60"/>
      <c r="N33" s="61">
        <v>4.0</v>
      </c>
      <c r="O33" s="61" t="s">
        <v>44</v>
      </c>
      <c r="P33" s="60">
        <f>COUNTIFS(mercado_acoes!H:H,"&gt;=01/04/2023",mercado_acoes!H:H,"&lt;=30/04/2023")</f>
        <v>169</v>
      </c>
    </row>
    <row r="34">
      <c r="G34" s="8"/>
      <c r="L34" s="61" t="s">
        <v>82</v>
      </c>
      <c r="M34" s="60">
        <f>AVERAGE(T8:T27)</f>
        <v>100</v>
      </c>
      <c r="N34" s="61">
        <v>5.0</v>
      </c>
      <c r="O34" s="61" t="s">
        <v>47</v>
      </c>
      <c r="P34" s="60">
        <f>COUNTIFS(mercado_acoes!H:H,"&gt;=01/05/2023",mercado_acoes!H:H,"&lt;=31/05/2023")</f>
        <v>167</v>
      </c>
    </row>
    <row r="35">
      <c r="G35" s="8"/>
      <c r="L35" s="61" t="s">
        <v>72</v>
      </c>
      <c r="M35" s="60">
        <f>AVERAGE(T8:T27)</f>
        <v>100</v>
      </c>
      <c r="N35" s="61">
        <v>6.0</v>
      </c>
      <c r="O35" s="61" t="s">
        <v>51</v>
      </c>
      <c r="P35" s="60">
        <f>COUNTIFS(mercado_acoes!H:H,"&gt;=01/06/2023",mercado_acoes!H:H,"&lt;=30/06/2023")</f>
        <v>172</v>
      </c>
    </row>
    <row r="36">
      <c r="L36" s="58" t="s">
        <v>261</v>
      </c>
      <c r="M36" s="58" t="s">
        <v>262</v>
      </c>
      <c r="N36" s="61">
        <v>7.0</v>
      </c>
      <c r="O36" s="61" t="s">
        <v>53</v>
      </c>
      <c r="P36" s="60">
        <f>COUNTIFS(mercado_acoes!H:H,"&gt;=01/07/2023",mercado_acoes!H:H,"&lt;=31/07/2023")</f>
        <v>158</v>
      </c>
    </row>
    <row r="37">
      <c r="L37" s="64">
        <f>FORECAST(N41,P30:P40,N30:N40)</f>
        <v>172.0181818</v>
      </c>
      <c r="M37" s="64">
        <f>L37-P41</f>
        <v>-14.98181818</v>
      </c>
      <c r="N37" s="61">
        <v>8.0</v>
      </c>
      <c r="O37" s="61" t="s">
        <v>57</v>
      </c>
      <c r="P37" s="60">
        <f>COUNTIFS(mercado_acoes!H:H,"&gt;=01/08/2023",mercado_acoes!H:H,"&lt;=31/08/2023")</f>
        <v>180</v>
      </c>
    </row>
    <row r="38">
      <c r="L38" s="58" t="s">
        <v>263</v>
      </c>
      <c r="M38" s="58" t="s">
        <v>264</v>
      </c>
      <c r="N38" s="61">
        <v>9.0</v>
      </c>
      <c r="O38" s="61" t="s">
        <v>61</v>
      </c>
      <c r="P38" s="60">
        <f>COUNTIFS(mercado_acoes!H:H,"&gt;=01/09/2023",mercado_acoes!H:H,"&lt;=30/09/2023")</f>
        <v>154</v>
      </c>
    </row>
    <row r="39">
      <c r="L39" s="65">
        <f>SUM(H8:R27)</f>
        <v>1813</v>
      </c>
      <c r="M39" s="60">
        <f>SUM(T8:T27)</f>
        <v>2000</v>
      </c>
      <c r="N39" s="61">
        <v>10.0</v>
      </c>
      <c r="O39" s="61" t="s">
        <v>64</v>
      </c>
      <c r="P39" s="60">
        <f>COUNTIFS(mercado_acoes!H:H,"&gt;=01/10/2023",mercado_acoes!H:H,"&lt;=31/10/2023")</f>
        <v>156</v>
      </c>
    </row>
    <row r="40">
      <c r="L40" s="66"/>
      <c r="M40" s="60">
        <f>SUM(H8:S27)</f>
        <v>2000</v>
      </c>
      <c r="N40" s="61">
        <v>11.0</v>
      </c>
      <c r="O40" s="61" t="s">
        <v>67</v>
      </c>
      <c r="P40" s="60">
        <f>COUNTIFS(mercado_acoes!H:H,"&gt;=01/11/2023",mercado_acoes!H:H,"&lt;=30/11/2023")</f>
        <v>185</v>
      </c>
    </row>
    <row r="41">
      <c r="L41" s="60"/>
      <c r="M41" s="60">
        <f>M39-M40</f>
        <v>0</v>
      </c>
      <c r="N41" s="61">
        <v>12.0</v>
      </c>
      <c r="O41" s="61" t="s">
        <v>71</v>
      </c>
      <c r="P41" s="60">
        <f>COUNTIFS(mercado_acoes!H:H,"&gt;=01/12/2023",mercado_acoes!H:H,"&lt;=31/12/2023")</f>
        <v>187</v>
      </c>
    </row>
    <row r="42">
      <c r="L42" s="60"/>
      <c r="M42" s="60"/>
      <c r="N42" s="60"/>
      <c r="O42" s="58" t="s">
        <v>75</v>
      </c>
      <c r="P42" s="60">
        <f>SUM(P30:P41)</f>
        <v>2000</v>
      </c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8.0"/>
    <col customWidth="1" min="3" max="4" width="26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6.75"/>
    <col customWidth="1" min="3" max="3" width="7.25"/>
    <col customWidth="1" min="4" max="6" width="11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0.0"/>
    <col customWidth="1" min="2" max="2" width="7.25"/>
    <col customWidth="1" min="3" max="4" width="8.75"/>
    <col customWidth="1" min="5" max="5" width="8.38"/>
    <col customWidth="1" min="6" max="6" width="12.63"/>
    <col customWidth="1" min="7" max="8" width="7.38"/>
    <col customWidth="1" min="9" max="10" width="6.88"/>
    <col customWidth="1" min="11" max="14" width="7.75"/>
    <col customWidth="1" min="15" max="15" width="8.75"/>
  </cols>
  <sheetData>
    <row r="1"/>
    <row r="2"/>
    <row r="3">
      <c r="E3" s="69">
        <f t="shared" ref="E3:E22" si="1">D:D-C:C</f>
        <v>-11.53698037</v>
      </c>
    </row>
    <row r="4">
      <c r="E4" s="69">
        <f t="shared" si="1"/>
        <v>9.556980371</v>
      </c>
    </row>
    <row r="5">
      <c r="E5" s="69">
        <f t="shared" si="1"/>
        <v>45.79698037</v>
      </c>
    </row>
    <row r="6">
      <c r="E6" s="69">
        <f t="shared" si="1"/>
        <v>-14.40698037</v>
      </c>
    </row>
    <row r="7">
      <c r="E7" s="69">
        <f t="shared" si="1"/>
        <v>26.16698037</v>
      </c>
    </row>
    <row r="8">
      <c r="E8" s="69">
        <f t="shared" si="1"/>
        <v>-18.67698037</v>
      </c>
    </row>
    <row r="9">
      <c r="E9" s="69">
        <f t="shared" si="1"/>
        <v>19.04396074</v>
      </c>
    </row>
    <row r="10">
      <c r="E10" s="69">
        <f t="shared" si="1"/>
        <v>-21.04698037</v>
      </c>
    </row>
    <row r="11">
      <c r="E11" s="69">
        <f t="shared" si="1"/>
        <v>-35.97396074</v>
      </c>
    </row>
    <row r="12">
      <c r="E12" s="69">
        <f t="shared" si="1"/>
        <v>40.95698037</v>
      </c>
    </row>
    <row r="13">
      <c r="E13" s="69">
        <f t="shared" si="1"/>
        <v>56.19698037</v>
      </c>
    </row>
    <row r="14">
      <c r="E14" s="69">
        <f t="shared" si="1"/>
        <v>-10.18698037</v>
      </c>
    </row>
    <row r="15">
      <c r="E15" s="69">
        <f t="shared" si="1"/>
        <v>70.79698037</v>
      </c>
    </row>
    <row r="16">
      <c r="E16" s="69">
        <f t="shared" si="1"/>
        <v>46.67698037</v>
      </c>
    </row>
    <row r="17">
      <c r="E17" s="69">
        <f t="shared" si="1"/>
        <v>13.51698037</v>
      </c>
      <c r="S17" s="68" t="s">
        <v>1</v>
      </c>
      <c r="T17" s="67" t="s">
        <v>4</v>
      </c>
      <c r="U17" s="68" t="s">
        <v>11</v>
      </c>
      <c r="V17" s="68" t="s">
        <v>30</v>
      </c>
    </row>
    <row r="18">
      <c r="E18" s="69">
        <f t="shared" si="1"/>
        <v>29.38396074</v>
      </c>
      <c r="S18" s="26" t="s">
        <v>122</v>
      </c>
      <c r="T18" s="8" t="s">
        <v>97</v>
      </c>
      <c r="U18" s="38">
        <v>2.6069803714022513</v>
      </c>
      <c r="V18" s="38">
        <v>4.266980371402251</v>
      </c>
      <c r="W18" s="69">
        <f t="shared" ref="W18:W23" si="2">V:V-U:U</f>
        <v>1.66</v>
      </c>
      <c r="X18" s="70" t="s">
        <v>354</v>
      </c>
    </row>
    <row r="19">
      <c r="E19" s="69">
        <f t="shared" si="1"/>
        <v>-18.83698037</v>
      </c>
      <c r="T19" s="8" t="s">
        <v>50</v>
      </c>
      <c r="U19" s="38">
        <v>31.54698037140225</v>
      </c>
      <c r="V19" s="38">
        <v>27.17698037140225</v>
      </c>
      <c r="W19" s="69">
        <f t="shared" si="2"/>
        <v>-4.37</v>
      </c>
      <c r="X19" s="69">
        <f>SUM(W:W)</f>
        <v>7.65</v>
      </c>
    </row>
    <row r="20">
      <c r="E20" s="69">
        <f t="shared" si="1"/>
        <v>-27.13698037</v>
      </c>
      <c r="T20" s="8" t="s">
        <v>72</v>
      </c>
      <c r="U20" s="38">
        <v>20.746980371402252</v>
      </c>
      <c r="V20" s="38">
        <v>16.87698037140225</v>
      </c>
      <c r="W20" s="69">
        <f t="shared" si="2"/>
        <v>-3.87</v>
      </c>
    </row>
    <row r="21">
      <c r="E21" s="69">
        <f t="shared" si="1"/>
        <v>-15.24698037</v>
      </c>
      <c r="T21" s="8" t="s">
        <v>91</v>
      </c>
      <c r="U21" s="38">
        <v>1.2769803714022512</v>
      </c>
      <c r="V21" s="38">
        <v>1.6169803714022515</v>
      </c>
      <c r="W21" s="69">
        <f t="shared" si="2"/>
        <v>0.34</v>
      </c>
    </row>
    <row r="22">
      <c r="E22" s="69">
        <f t="shared" si="1"/>
        <v>-15.45698037</v>
      </c>
      <c r="T22" s="8" t="s">
        <v>39</v>
      </c>
      <c r="U22" s="38">
        <v>23.976980371402252</v>
      </c>
      <c r="V22" s="38">
        <v>40.49698037140225</v>
      </c>
      <c r="W22" s="69">
        <f t="shared" si="2"/>
        <v>16.52</v>
      </c>
    </row>
    <row r="23">
      <c r="E23" s="68"/>
      <c r="T23" s="8" t="s">
        <v>94</v>
      </c>
      <c r="U23" s="38">
        <v>29.756980371402253</v>
      </c>
      <c r="V23" s="38">
        <v>27.12698037140225</v>
      </c>
      <c r="W23" s="69">
        <f t="shared" si="2"/>
        <v>-2.63</v>
      </c>
    </row>
    <row r="24">
      <c r="E24" s="68"/>
      <c r="F24" s="70" t="s">
        <v>354</v>
      </c>
      <c r="U24" s="38">
        <f t="shared" ref="U24:V24" si="3">SUM(U18:U23)</f>
        <v>109.9118822</v>
      </c>
      <c r="V24" s="38">
        <f t="shared" si="3"/>
        <v>117.5618822</v>
      </c>
    </row>
    <row r="25">
      <c r="E25" s="68"/>
      <c r="F25" s="69">
        <f>SUM(E:E)</f>
        <v>169.5869804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</sheetData>
  <conditionalFormatting sqref="X18:X19 F24:F25">
    <cfRule type="cellIs" dxfId="9" priority="1" operator="greaterThan">
      <formula>0</formula>
    </cfRule>
  </conditionalFormatting>
  <conditionalFormatting sqref="X18:X19 F24:F25">
    <cfRule type="cellIs" dxfId="10" priority="2" operator="lessThan">
      <formula>0</formula>
    </cfRule>
  </conditionalFormatting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M1" s="71" t="s">
        <v>355</v>
      </c>
    </row>
    <row r="21">
      <c r="C21" s="72"/>
    </row>
  </sheetData>
  <mergeCells count="2">
    <mergeCell ref="M1:R1"/>
    <mergeCell ref="C21:E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5"/>
    <col customWidth="1" min="3" max="3" width="28.13"/>
    <col customWidth="1" min="4" max="4" width="8.38"/>
    <col customWidth="1" min="5" max="5" width="7.25"/>
    <col customWidth="1" min="6" max="6" width="7.75"/>
    <col customWidth="1" min="7" max="7" width="14.13"/>
    <col customWidth="1" min="9" max="9" width="16.13"/>
    <col customWidth="1" min="10" max="10" width="26.75"/>
    <col customWidth="1" min="11" max="11" width="27.5"/>
    <col customWidth="1" min="12" max="12" width="14.75"/>
    <col customWidth="1" min="13" max="13" width="16.13"/>
    <col customWidth="1" min="14" max="14" width="14.75"/>
    <col customWidth="1" min="15" max="15" width="23.5"/>
  </cols>
  <sheetData>
    <row r="1">
      <c r="A1" s="73" t="s">
        <v>0</v>
      </c>
      <c r="B1" s="74" t="s">
        <v>356</v>
      </c>
      <c r="C1" s="74" t="s">
        <v>2</v>
      </c>
      <c r="D1" s="74" t="s">
        <v>3</v>
      </c>
      <c r="E1" s="74" t="s">
        <v>4</v>
      </c>
      <c r="F1" s="75" t="s">
        <v>5</v>
      </c>
    </row>
    <row r="2">
      <c r="A2" s="76">
        <v>30.0</v>
      </c>
      <c r="B2" s="74" t="s">
        <v>9</v>
      </c>
      <c r="C2" s="74" t="s">
        <v>10</v>
      </c>
      <c r="D2" s="74" t="s">
        <v>11</v>
      </c>
      <c r="E2" s="74" t="s">
        <v>12</v>
      </c>
      <c r="F2" s="77">
        <v>9.238422467680474</v>
      </c>
      <c r="M2" s="78"/>
      <c r="N2" s="79"/>
    </row>
    <row r="3">
      <c r="A3" s="76">
        <v>78.0</v>
      </c>
      <c r="B3" s="74" t="s">
        <v>28</v>
      </c>
      <c r="C3" s="74" t="s">
        <v>29</v>
      </c>
      <c r="D3" s="74" t="s">
        <v>30</v>
      </c>
      <c r="E3" s="74" t="s">
        <v>31</v>
      </c>
      <c r="F3" s="80">
        <v>52.23842246768047</v>
      </c>
    </row>
    <row r="4">
      <c r="A4" s="76">
        <v>50.0</v>
      </c>
      <c r="B4" s="74" t="s">
        <v>33</v>
      </c>
      <c r="C4" s="74" t="s">
        <v>34</v>
      </c>
      <c r="D4" s="74" t="s">
        <v>11</v>
      </c>
      <c r="E4" s="74" t="s">
        <v>35</v>
      </c>
      <c r="F4" s="77">
        <v>20.628422467680476</v>
      </c>
      <c r="I4" s="39" t="s">
        <v>256</v>
      </c>
      <c r="J4" s="40"/>
      <c r="K4" s="39" t="s">
        <v>257</v>
      </c>
      <c r="L4" s="40"/>
    </row>
    <row r="5">
      <c r="A5" s="76">
        <v>80.0</v>
      </c>
      <c r="B5" s="74" t="s">
        <v>37</v>
      </c>
      <c r="C5" s="74" t="s">
        <v>38</v>
      </c>
      <c r="D5" s="74" t="s">
        <v>30</v>
      </c>
      <c r="E5" s="74" t="s">
        <v>39</v>
      </c>
      <c r="F5" s="80">
        <v>38.67842246768048</v>
      </c>
      <c r="I5" s="43" t="s">
        <v>258</v>
      </c>
      <c r="J5" s="28" t="str">
        <f>VLOOKUP(K5,A:C,3,FALSE)</f>
        <v>beatriz.almeida66@exemplo.com</v>
      </c>
      <c r="K5" s="44">
        <v>80.0</v>
      </c>
      <c r="L5" s="81"/>
    </row>
    <row r="6">
      <c r="A6" s="76">
        <v>68.0</v>
      </c>
      <c r="B6" s="74" t="s">
        <v>41</v>
      </c>
      <c r="C6" s="74" t="s">
        <v>42</v>
      </c>
      <c r="D6" s="74" t="s">
        <v>11</v>
      </c>
      <c r="E6" s="74" t="s">
        <v>43</v>
      </c>
      <c r="F6" s="77">
        <v>16.898422467680476</v>
      </c>
      <c r="I6" s="46" t="s">
        <v>1</v>
      </c>
      <c r="J6" s="82" t="str">
        <f>VLOOKUP(K5,A:F,2,FALSE)</f>
        <v>Beatriz Almeida</v>
      </c>
      <c r="K6" s="83"/>
      <c r="L6" s="84"/>
    </row>
    <row r="7">
      <c r="A7" s="76">
        <v>48.0</v>
      </c>
      <c r="B7" s="74" t="s">
        <v>41</v>
      </c>
      <c r="C7" s="74" t="s">
        <v>45</v>
      </c>
      <c r="D7" s="74" t="s">
        <v>30</v>
      </c>
      <c r="E7" s="74" t="s">
        <v>46</v>
      </c>
      <c r="F7" s="80">
        <v>10.888422467680472</v>
      </c>
      <c r="I7" s="43"/>
      <c r="J7" s="28"/>
      <c r="K7" s="85"/>
      <c r="L7" s="86"/>
    </row>
    <row r="8">
      <c r="A8" s="76">
        <v>100.0</v>
      </c>
      <c r="B8" s="74" t="s">
        <v>48</v>
      </c>
      <c r="C8" s="74" t="s">
        <v>49</v>
      </c>
      <c r="D8" s="74" t="s">
        <v>11</v>
      </c>
      <c r="E8" s="74" t="s">
        <v>50</v>
      </c>
      <c r="F8" s="77">
        <v>23.468422467680476</v>
      </c>
      <c r="I8" s="46"/>
      <c r="J8" s="82"/>
      <c r="K8" s="83"/>
      <c r="L8" s="87"/>
    </row>
    <row r="9">
      <c r="A9" s="76">
        <v>30.0</v>
      </c>
      <c r="B9" s="74" t="s">
        <v>9</v>
      </c>
      <c r="C9" s="74" t="s">
        <v>10</v>
      </c>
      <c r="D9" s="74" t="s">
        <v>11</v>
      </c>
      <c r="E9" s="74" t="s">
        <v>52</v>
      </c>
      <c r="F9" s="80">
        <v>45.67842246768048</v>
      </c>
    </row>
    <row r="10">
      <c r="A10" s="76">
        <v>81.0</v>
      </c>
      <c r="B10" s="74" t="s">
        <v>54</v>
      </c>
      <c r="C10" s="74" t="s">
        <v>55</v>
      </c>
      <c r="D10" s="74" t="s">
        <v>30</v>
      </c>
      <c r="E10" s="74" t="s">
        <v>56</v>
      </c>
      <c r="F10" s="77">
        <v>64.32842246768047</v>
      </c>
    </row>
    <row r="11">
      <c r="A11" s="76">
        <v>15.0</v>
      </c>
      <c r="B11" s="74" t="s">
        <v>58</v>
      </c>
      <c r="C11" s="74" t="s">
        <v>59</v>
      </c>
      <c r="D11" s="74" t="s">
        <v>30</v>
      </c>
      <c r="E11" s="74" t="s">
        <v>60</v>
      </c>
      <c r="F11" s="80">
        <v>55.618422467680475</v>
      </c>
    </row>
    <row r="12">
      <c r="A12" s="76">
        <v>86.0</v>
      </c>
      <c r="B12" s="74" t="s">
        <v>62</v>
      </c>
      <c r="C12" s="74" t="s">
        <v>63</v>
      </c>
      <c r="D12" s="74" t="s">
        <v>30</v>
      </c>
      <c r="E12" s="74" t="s">
        <v>39</v>
      </c>
      <c r="F12" s="77">
        <v>25.928422467680473</v>
      </c>
    </row>
    <row r="13">
      <c r="A13" s="76">
        <v>60.0</v>
      </c>
      <c r="B13" s="74" t="s">
        <v>65</v>
      </c>
      <c r="C13" s="74" t="s">
        <v>66</v>
      </c>
      <c r="D13" s="74" t="s">
        <v>30</v>
      </c>
      <c r="E13" s="74" t="s">
        <v>56</v>
      </c>
      <c r="F13" s="80">
        <v>77.87842246768047</v>
      </c>
    </row>
    <row r="14">
      <c r="A14" s="76">
        <v>97.0</v>
      </c>
      <c r="B14" s="74" t="s">
        <v>69</v>
      </c>
      <c r="C14" s="74" t="s">
        <v>70</v>
      </c>
      <c r="D14" s="74" t="s">
        <v>30</v>
      </c>
      <c r="E14" s="74" t="s">
        <v>50</v>
      </c>
      <c r="F14" s="77">
        <v>29.128422467680476</v>
      </c>
    </row>
    <row r="15">
      <c r="A15" s="76">
        <v>99.0</v>
      </c>
      <c r="B15" s="74" t="s">
        <v>73</v>
      </c>
      <c r="C15" s="74" t="s">
        <v>74</v>
      </c>
      <c r="D15" s="74" t="s">
        <v>30</v>
      </c>
      <c r="E15" s="74" t="s">
        <v>68</v>
      </c>
      <c r="F15" s="80">
        <v>9.848422467680473</v>
      </c>
    </row>
    <row r="16">
      <c r="A16" s="76">
        <v>28.0</v>
      </c>
      <c r="B16" s="74" t="s">
        <v>77</v>
      </c>
      <c r="C16" s="74" t="s">
        <v>78</v>
      </c>
      <c r="D16" s="74" t="s">
        <v>11</v>
      </c>
      <c r="E16" s="74" t="s">
        <v>50</v>
      </c>
      <c r="F16" s="77">
        <v>21.968422467680476</v>
      </c>
    </row>
    <row r="17">
      <c r="A17" s="76">
        <v>3.0</v>
      </c>
      <c r="B17" s="74" t="s">
        <v>80</v>
      </c>
      <c r="C17" s="74" t="s">
        <v>81</v>
      </c>
      <c r="D17" s="74" t="s">
        <v>11</v>
      </c>
      <c r="E17" s="74" t="s">
        <v>35</v>
      </c>
      <c r="F17" s="80">
        <v>19.348422467680475</v>
      </c>
    </row>
    <row r="18">
      <c r="A18" s="76">
        <v>2.0</v>
      </c>
      <c r="B18" s="74" t="s">
        <v>83</v>
      </c>
      <c r="C18" s="74" t="s">
        <v>84</v>
      </c>
      <c r="D18" s="74" t="s">
        <v>11</v>
      </c>
      <c r="E18" s="74" t="s">
        <v>56</v>
      </c>
      <c r="F18" s="77">
        <v>68.67842246768046</v>
      </c>
    </row>
    <row r="19">
      <c r="A19" s="76">
        <v>54.0</v>
      </c>
      <c r="B19" s="74" t="s">
        <v>86</v>
      </c>
      <c r="C19" s="74" t="s">
        <v>87</v>
      </c>
      <c r="D19" s="74" t="s">
        <v>30</v>
      </c>
      <c r="E19" s="74" t="s">
        <v>72</v>
      </c>
      <c r="F19" s="80">
        <v>15.198422467680475</v>
      </c>
    </row>
    <row r="20">
      <c r="A20" s="76">
        <v>39.0</v>
      </c>
      <c r="B20" s="74" t="s">
        <v>89</v>
      </c>
      <c r="C20" s="74" t="s">
        <v>90</v>
      </c>
      <c r="D20" s="74" t="s">
        <v>30</v>
      </c>
      <c r="E20" s="74" t="s">
        <v>31</v>
      </c>
      <c r="F20" s="77">
        <v>34.898422467680476</v>
      </c>
    </row>
    <row r="21">
      <c r="A21" s="76">
        <v>36.0</v>
      </c>
      <c r="B21" s="74" t="s">
        <v>92</v>
      </c>
      <c r="C21" s="74" t="s">
        <v>93</v>
      </c>
      <c r="D21" s="74" t="s">
        <v>30</v>
      </c>
      <c r="E21" s="74" t="s">
        <v>76</v>
      </c>
      <c r="F21" s="80">
        <v>11.438422467680473</v>
      </c>
    </row>
    <row r="22">
      <c r="A22" s="76">
        <v>43.0</v>
      </c>
      <c r="B22" s="74" t="s">
        <v>95</v>
      </c>
      <c r="C22" s="74" t="s">
        <v>96</v>
      </c>
      <c r="D22" s="74" t="s">
        <v>11</v>
      </c>
      <c r="E22" s="74" t="s">
        <v>79</v>
      </c>
      <c r="F22" s="77">
        <v>37.868422467680475</v>
      </c>
    </row>
    <row r="23">
      <c r="A23" s="76">
        <v>83.0</v>
      </c>
      <c r="B23" s="74" t="s">
        <v>98</v>
      </c>
      <c r="C23" s="74" t="s">
        <v>99</v>
      </c>
      <c r="D23" s="74" t="s">
        <v>30</v>
      </c>
      <c r="E23" s="74" t="s">
        <v>52</v>
      </c>
      <c r="F23" s="80">
        <v>48.34842246768047</v>
      </c>
    </row>
    <row r="24">
      <c r="A24" s="76">
        <v>39.0</v>
      </c>
      <c r="B24" s="74" t="s">
        <v>89</v>
      </c>
      <c r="C24" s="74" t="s">
        <v>90</v>
      </c>
      <c r="D24" s="74" t="s">
        <v>30</v>
      </c>
      <c r="E24" s="74" t="s">
        <v>50</v>
      </c>
      <c r="F24" s="77">
        <v>31.218422467680476</v>
      </c>
    </row>
    <row r="25">
      <c r="A25" s="76">
        <v>30.0</v>
      </c>
      <c r="B25" s="74" t="s">
        <v>9</v>
      </c>
      <c r="C25" s="74" t="s">
        <v>10</v>
      </c>
      <c r="D25" s="74" t="s">
        <v>11</v>
      </c>
      <c r="E25" s="74" t="s">
        <v>60</v>
      </c>
      <c r="F25" s="80">
        <v>39.118422467680475</v>
      </c>
    </row>
    <row r="26">
      <c r="A26" s="76">
        <v>80.0</v>
      </c>
      <c r="B26" s="74" t="s">
        <v>37</v>
      </c>
      <c r="C26" s="74" t="s">
        <v>38</v>
      </c>
      <c r="D26" s="74" t="s">
        <v>30</v>
      </c>
      <c r="E26" s="74" t="s">
        <v>82</v>
      </c>
      <c r="F26" s="77">
        <v>9.058422467680472</v>
      </c>
    </row>
    <row r="27">
      <c r="A27" s="76">
        <v>79.0</v>
      </c>
      <c r="B27" s="74" t="s">
        <v>101</v>
      </c>
      <c r="C27" s="74" t="s">
        <v>102</v>
      </c>
      <c r="D27" s="74" t="s">
        <v>11</v>
      </c>
      <c r="E27" s="74" t="s">
        <v>56</v>
      </c>
      <c r="F27" s="80">
        <v>69.19842246768047</v>
      </c>
    </row>
    <row r="28">
      <c r="A28" s="76">
        <v>59.0</v>
      </c>
      <c r="B28" s="74" t="s">
        <v>103</v>
      </c>
      <c r="C28" s="74" t="s">
        <v>104</v>
      </c>
      <c r="D28" s="74" t="s">
        <v>30</v>
      </c>
      <c r="E28" s="74" t="s">
        <v>56</v>
      </c>
      <c r="F28" s="77">
        <v>73.41842246768047</v>
      </c>
    </row>
    <row r="29">
      <c r="A29" s="76">
        <v>61.0</v>
      </c>
      <c r="B29" s="74" t="s">
        <v>106</v>
      </c>
      <c r="C29" s="74" t="s">
        <v>107</v>
      </c>
      <c r="D29" s="74" t="s">
        <v>11</v>
      </c>
      <c r="E29" s="74" t="s">
        <v>60</v>
      </c>
      <c r="F29" s="80">
        <v>46.298422467680474</v>
      </c>
    </row>
    <row r="30">
      <c r="A30" s="76">
        <v>8.0</v>
      </c>
      <c r="B30" s="74" t="s">
        <v>108</v>
      </c>
      <c r="C30" s="74" t="s">
        <v>109</v>
      </c>
      <c r="D30" s="74" t="s">
        <v>11</v>
      </c>
      <c r="E30" s="74" t="s">
        <v>76</v>
      </c>
      <c r="F30" s="77">
        <v>10.198422467680473</v>
      </c>
    </row>
    <row r="31">
      <c r="A31" s="76">
        <v>86.0</v>
      </c>
      <c r="B31" s="74" t="s">
        <v>62</v>
      </c>
      <c r="C31" s="74" t="s">
        <v>63</v>
      </c>
      <c r="D31" s="74" t="s">
        <v>11</v>
      </c>
      <c r="E31" s="74" t="s">
        <v>85</v>
      </c>
      <c r="F31" s="80">
        <v>14.068422467680474</v>
      </c>
    </row>
    <row r="32">
      <c r="A32" s="76">
        <v>95.0</v>
      </c>
      <c r="B32" s="74" t="s">
        <v>110</v>
      </c>
      <c r="C32" s="74" t="s">
        <v>111</v>
      </c>
      <c r="D32" s="74" t="s">
        <v>30</v>
      </c>
      <c r="E32" s="74" t="s">
        <v>31</v>
      </c>
      <c r="F32" s="77">
        <v>53.63842246768048</v>
      </c>
    </row>
    <row r="33">
      <c r="A33" s="76">
        <v>78.0</v>
      </c>
      <c r="B33" s="74" t="s">
        <v>28</v>
      </c>
      <c r="C33" s="74" t="s">
        <v>29</v>
      </c>
      <c r="D33" s="74" t="s">
        <v>11</v>
      </c>
      <c r="E33" s="74" t="s">
        <v>88</v>
      </c>
      <c r="F33" s="80">
        <v>35.10842246768048</v>
      </c>
    </row>
    <row r="34">
      <c r="A34" s="76">
        <v>91.0</v>
      </c>
      <c r="B34" s="74" t="s">
        <v>112</v>
      </c>
      <c r="C34" s="74" t="s">
        <v>113</v>
      </c>
      <c r="D34" s="74" t="s">
        <v>30</v>
      </c>
      <c r="E34" s="74" t="s">
        <v>68</v>
      </c>
      <c r="F34" s="77">
        <v>9.228422467680472</v>
      </c>
    </row>
    <row r="35">
      <c r="A35" s="76">
        <v>7.0</v>
      </c>
      <c r="B35" s="74" t="s">
        <v>114</v>
      </c>
      <c r="C35" s="74" t="s">
        <v>115</v>
      </c>
      <c r="D35" s="74" t="s">
        <v>30</v>
      </c>
      <c r="E35" s="74" t="s">
        <v>88</v>
      </c>
      <c r="F35" s="80">
        <v>36.56842246768048</v>
      </c>
    </row>
    <row r="36">
      <c r="A36" s="76">
        <v>38.0</v>
      </c>
      <c r="B36" s="74" t="s">
        <v>116</v>
      </c>
      <c r="C36" s="74" t="s">
        <v>117</v>
      </c>
      <c r="D36" s="74" t="s">
        <v>30</v>
      </c>
      <c r="E36" s="74" t="s">
        <v>56</v>
      </c>
      <c r="F36" s="77">
        <v>71.35842246768047</v>
      </c>
    </row>
    <row r="37">
      <c r="A37" s="76">
        <v>4.0</v>
      </c>
      <c r="B37" s="74" t="s">
        <v>118</v>
      </c>
      <c r="C37" s="74" t="s">
        <v>119</v>
      </c>
      <c r="D37" s="74" t="s">
        <v>11</v>
      </c>
      <c r="E37" s="74" t="s">
        <v>56</v>
      </c>
      <c r="F37" s="80">
        <v>77.19842246768047</v>
      </c>
    </row>
    <row r="38">
      <c r="A38" s="76">
        <v>47.0</v>
      </c>
      <c r="B38" s="74" t="s">
        <v>120</v>
      </c>
      <c r="C38" s="74" t="s">
        <v>121</v>
      </c>
      <c r="D38" s="74" t="s">
        <v>30</v>
      </c>
      <c r="E38" s="74" t="s">
        <v>72</v>
      </c>
      <c r="F38" s="77">
        <v>20.488422467680476</v>
      </c>
    </row>
    <row r="39">
      <c r="A39" s="76">
        <v>48.0</v>
      </c>
      <c r="B39" s="74" t="s">
        <v>41</v>
      </c>
      <c r="C39" s="74" t="s">
        <v>45</v>
      </c>
      <c r="D39" s="74" t="s">
        <v>30</v>
      </c>
      <c r="E39" s="74" t="s">
        <v>91</v>
      </c>
      <c r="F39" s="80">
        <v>2.108422467680474</v>
      </c>
    </row>
    <row r="40">
      <c r="A40" s="76">
        <v>81.0</v>
      </c>
      <c r="B40" s="74" t="s">
        <v>54</v>
      </c>
      <c r="C40" s="74" t="s">
        <v>55</v>
      </c>
      <c r="D40" s="74" t="s">
        <v>11</v>
      </c>
      <c r="E40" s="74" t="s">
        <v>12</v>
      </c>
      <c r="F40" s="77">
        <v>9.268422467680473</v>
      </c>
    </row>
    <row r="41">
      <c r="A41" s="76">
        <v>29.0</v>
      </c>
      <c r="B41" s="74" t="s">
        <v>122</v>
      </c>
      <c r="C41" s="74" t="s">
        <v>123</v>
      </c>
      <c r="D41" s="74" t="s">
        <v>11</v>
      </c>
      <c r="E41" s="74" t="s">
        <v>68</v>
      </c>
      <c r="F41" s="80">
        <v>11.028422467680473</v>
      </c>
    </row>
    <row r="42">
      <c r="A42" s="76">
        <v>59.0</v>
      </c>
      <c r="B42" s="74" t="s">
        <v>103</v>
      </c>
      <c r="C42" s="74" t="s">
        <v>104</v>
      </c>
      <c r="D42" s="74" t="s">
        <v>11</v>
      </c>
      <c r="E42" s="74" t="s">
        <v>52</v>
      </c>
      <c r="F42" s="77">
        <v>56.158422467680474</v>
      </c>
    </row>
    <row r="43">
      <c r="A43" s="76">
        <v>60.0</v>
      </c>
      <c r="B43" s="74" t="s">
        <v>65</v>
      </c>
      <c r="C43" s="74" t="s">
        <v>66</v>
      </c>
      <c r="D43" s="74" t="s">
        <v>30</v>
      </c>
      <c r="E43" s="74" t="s">
        <v>68</v>
      </c>
      <c r="F43" s="80">
        <v>7.3784224676804735</v>
      </c>
    </row>
    <row r="44">
      <c r="A44" s="76">
        <v>43.0</v>
      </c>
      <c r="B44" s="74" t="s">
        <v>95</v>
      </c>
      <c r="C44" s="74" t="s">
        <v>96</v>
      </c>
      <c r="D44" s="74" t="s">
        <v>30</v>
      </c>
      <c r="E44" s="74" t="s">
        <v>52</v>
      </c>
      <c r="F44" s="77">
        <v>45.37842246768047</v>
      </c>
    </row>
    <row r="45">
      <c r="A45" s="76">
        <v>74.0</v>
      </c>
      <c r="B45" s="74" t="s">
        <v>9</v>
      </c>
      <c r="C45" s="74" t="s">
        <v>124</v>
      </c>
      <c r="D45" s="74" t="s">
        <v>30</v>
      </c>
      <c r="E45" s="74" t="s">
        <v>72</v>
      </c>
      <c r="F45" s="80">
        <v>17.908422467680474</v>
      </c>
    </row>
    <row r="46">
      <c r="A46" s="76">
        <v>100.0</v>
      </c>
      <c r="B46" s="74" t="s">
        <v>48</v>
      </c>
      <c r="C46" s="74" t="s">
        <v>49</v>
      </c>
      <c r="D46" s="74" t="s">
        <v>30</v>
      </c>
      <c r="E46" s="74" t="s">
        <v>60</v>
      </c>
      <c r="F46" s="77">
        <v>42.23842246768047</v>
      </c>
    </row>
    <row r="47">
      <c r="A47" s="76">
        <v>35.0</v>
      </c>
      <c r="B47" s="74" t="s">
        <v>125</v>
      </c>
      <c r="C47" s="74" t="s">
        <v>126</v>
      </c>
      <c r="D47" s="74" t="s">
        <v>30</v>
      </c>
      <c r="E47" s="74" t="s">
        <v>76</v>
      </c>
      <c r="F47" s="80">
        <v>9.568422467680474</v>
      </c>
    </row>
    <row r="48">
      <c r="A48" s="76">
        <v>56.0</v>
      </c>
      <c r="B48" s="74" t="s">
        <v>127</v>
      </c>
      <c r="C48" s="74" t="s">
        <v>128</v>
      </c>
      <c r="D48" s="74" t="s">
        <v>30</v>
      </c>
      <c r="E48" s="74" t="s">
        <v>91</v>
      </c>
      <c r="F48" s="77">
        <v>0.4884224676804738</v>
      </c>
    </row>
    <row r="49">
      <c r="A49" s="76">
        <v>93.0</v>
      </c>
      <c r="B49" s="74" t="s">
        <v>129</v>
      </c>
      <c r="C49" s="74" t="s">
        <v>130</v>
      </c>
      <c r="D49" s="74" t="s">
        <v>11</v>
      </c>
      <c r="E49" s="74" t="s">
        <v>88</v>
      </c>
      <c r="F49" s="80">
        <v>40.728422467680474</v>
      </c>
    </row>
    <row r="50">
      <c r="A50" s="76">
        <v>22.0</v>
      </c>
      <c r="B50" s="74" t="s">
        <v>131</v>
      </c>
      <c r="C50" s="74" t="s">
        <v>132</v>
      </c>
      <c r="D50" s="74" t="s">
        <v>30</v>
      </c>
      <c r="E50" s="74" t="s">
        <v>12</v>
      </c>
      <c r="F50" s="77">
        <v>9.108422467680473</v>
      </c>
    </row>
    <row r="51">
      <c r="A51" s="76">
        <v>59.0</v>
      </c>
      <c r="B51" s="74" t="s">
        <v>103</v>
      </c>
      <c r="C51" s="74" t="s">
        <v>104</v>
      </c>
      <c r="D51" s="74" t="s">
        <v>11</v>
      </c>
      <c r="E51" s="74" t="s">
        <v>88</v>
      </c>
      <c r="F51" s="80">
        <v>40.898422467680476</v>
      </c>
    </row>
    <row r="52">
      <c r="A52" s="76">
        <v>72.0</v>
      </c>
      <c r="B52" s="74" t="s">
        <v>133</v>
      </c>
      <c r="C52" s="74" t="s">
        <v>134</v>
      </c>
      <c r="D52" s="74" t="s">
        <v>11</v>
      </c>
      <c r="E52" s="74" t="s">
        <v>52</v>
      </c>
      <c r="F52" s="77">
        <v>62.23842246768047</v>
      </c>
    </row>
    <row r="53">
      <c r="A53" s="76">
        <v>89.0</v>
      </c>
      <c r="B53" s="74" t="s">
        <v>135</v>
      </c>
      <c r="C53" s="74" t="s">
        <v>136</v>
      </c>
      <c r="D53" s="74" t="s">
        <v>30</v>
      </c>
      <c r="E53" s="74" t="s">
        <v>94</v>
      </c>
      <c r="F53" s="80">
        <v>27.608422467680477</v>
      </c>
    </row>
    <row r="54">
      <c r="A54" s="76">
        <v>79.0</v>
      </c>
      <c r="B54" s="74" t="s">
        <v>101</v>
      </c>
      <c r="C54" s="74" t="s">
        <v>102</v>
      </c>
      <c r="D54" s="74" t="s">
        <v>30</v>
      </c>
      <c r="E54" s="74" t="s">
        <v>39</v>
      </c>
      <c r="F54" s="77">
        <v>27.318422467680474</v>
      </c>
    </row>
    <row r="55">
      <c r="A55" s="76">
        <v>4.0</v>
      </c>
      <c r="B55" s="74" t="s">
        <v>118</v>
      </c>
      <c r="C55" s="74" t="s">
        <v>119</v>
      </c>
      <c r="D55" s="74" t="s">
        <v>11</v>
      </c>
      <c r="E55" s="74" t="s">
        <v>50</v>
      </c>
      <c r="F55" s="80">
        <v>25.658422467680474</v>
      </c>
    </row>
    <row r="56">
      <c r="A56" s="76">
        <v>13.0</v>
      </c>
      <c r="B56" s="74" t="s">
        <v>137</v>
      </c>
      <c r="C56" s="74" t="s">
        <v>138</v>
      </c>
      <c r="D56" s="74" t="s">
        <v>30</v>
      </c>
      <c r="E56" s="74" t="s">
        <v>60</v>
      </c>
      <c r="F56" s="77">
        <v>54.20842246768048</v>
      </c>
    </row>
    <row r="57">
      <c r="A57" s="76">
        <v>74.0</v>
      </c>
      <c r="B57" s="74" t="s">
        <v>9</v>
      </c>
      <c r="C57" s="74" t="s">
        <v>124</v>
      </c>
      <c r="D57" s="74" t="s">
        <v>30</v>
      </c>
      <c r="E57" s="74" t="s">
        <v>56</v>
      </c>
      <c r="F57" s="80">
        <v>75.07842246768047</v>
      </c>
    </row>
    <row r="58">
      <c r="A58" s="76">
        <v>48.0</v>
      </c>
      <c r="B58" s="74" t="s">
        <v>41</v>
      </c>
      <c r="C58" s="74" t="s">
        <v>45</v>
      </c>
      <c r="D58" s="74" t="s">
        <v>30</v>
      </c>
      <c r="E58" s="74" t="s">
        <v>76</v>
      </c>
      <c r="F58" s="77">
        <v>11.458422467680473</v>
      </c>
    </row>
    <row r="59">
      <c r="A59" s="76">
        <v>24.0</v>
      </c>
      <c r="B59" s="74" t="s">
        <v>139</v>
      </c>
      <c r="C59" s="74" t="s">
        <v>140</v>
      </c>
      <c r="D59" s="74" t="s">
        <v>30</v>
      </c>
      <c r="E59" s="74" t="s">
        <v>50</v>
      </c>
      <c r="F59" s="80">
        <v>26.328422467680475</v>
      </c>
    </row>
    <row r="60">
      <c r="A60" s="76">
        <v>84.0</v>
      </c>
      <c r="B60" s="74" t="s">
        <v>141</v>
      </c>
      <c r="C60" s="74" t="s">
        <v>142</v>
      </c>
      <c r="D60" s="74" t="s">
        <v>11</v>
      </c>
      <c r="E60" s="74" t="s">
        <v>88</v>
      </c>
      <c r="F60" s="77">
        <v>31.988422467680472</v>
      </c>
    </row>
    <row r="61">
      <c r="A61" s="76">
        <v>7.0</v>
      </c>
      <c r="B61" s="74" t="s">
        <v>114</v>
      </c>
      <c r="C61" s="74" t="s">
        <v>115</v>
      </c>
      <c r="D61" s="74" t="s">
        <v>11</v>
      </c>
      <c r="E61" s="74" t="s">
        <v>39</v>
      </c>
      <c r="F61" s="80">
        <v>36.648422467680476</v>
      </c>
    </row>
    <row r="62">
      <c r="A62" s="76">
        <v>60.0</v>
      </c>
      <c r="B62" s="74" t="s">
        <v>65</v>
      </c>
      <c r="C62" s="74" t="s">
        <v>66</v>
      </c>
      <c r="D62" s="74" t="s">
        <v>30</v>
      </c>
      <c r="E62" s="74" t="s">
        <v>91</v>
      </c>
      <c r="F62" s="77">
        <v>1.098422467680474</v>
      </c>
    </row>
    <row r="63">
      <c r="A63" s="76">
        <v>46.0</v>
      </c>
      <c r="B63" s="74" t="s">
        <v>143</v>
      </c>
      <c r="C63" s="74" t="s">
        <v>144</v>
      </c>
      <c r="D63" s="74" t="s">
        <v>11</v>
      </c>
      <c r="E63" s="74" t="s">
        <v>97</v>
      </c>
      <c r="F63" s="80">
        <v>2.0784224676804737</v>
      </c>
    </row>
    <row r="64">
      <c r="A64" s="76">
        <v>93.0</v>
      </c>
      <c r="B64" s="74" t="s">
        <v>129</v>
      </c>
      <c r="C64" s="74" t="s">
        <v>130</v>
      </c>
      <c r="D64" s="74" t="s">
        <v>30</v>
      </c>
      <c r="E64" s="74" t="s">
        <v>50</v>
      </c>
      <c r="F64" s="77">
        <v>30.798422467680474</v>
      </c>
    </row>
    <row r="65">
      <c r="A65" s="76">
        <v>69.0</v>
      </c>
      <c r="B65" s="74" t="s">
        <v>108</v>
      </c>
      <c r="C65" s="74" t="s">
        <v>145</v>
      </c>
      <c r="D65" s="74" t="s">
        <v>11</v>
      </c>
      <c r="E65" s="74" t="s">
        <v>82</v>
      </c>
      <c r="F65" s="80">
        <v>12.378422467680473</v>
      </c>
    </row>
    <row r="66">
      <c r="A66" s="76">
        <v>32.0</v>
      </c>
      <c r="B66" s="74" t="s">
        <v>146</v>
      </c>
      <c r="C66" s="74" t="s">
        <v>147</v>
      </c>
      <c r="D66" s="74" t="s">
        <v>30</v>
      </c>
      <c r="E66" s="74" t="s">
        <v>60</v>
      </c>
      <c r="F66" s="77">
        <v>40.578422467680475</v>
      </c>
    </row>
    <row r="67">
      <c r="A67" s="76">
        <v>84.0</v>
      </c>
      <c r="B67" s="74" t="s">
        <v>141</v>
      </c>
      <c r="C67" s="74" t="s">
        <v>142</v>
      </c>
      <c r="D67" s="74" t="s">
        <v>11</v>
      </c>
      <c r="E67" s="74" t="s">
        <v>60</v>
      </c>
      <c r="F67" s="80">
        <v>44.898422467680476</v>
      </c>
    </row>
    <row r="68">
      <c r="A68" s="76">
        <v>10.0</v>
      </c>
      <c r="B68" s="74" t="s">
        <v>148</v>
      </c>
      <c r="C68" s="74" t="s">
        <v>149</v>
      </c>
      <c r="D68" s="74" t="s">
        <v>11</v>
      </c>
      <c r="E68" s="74" t="s">
        <v>97</v>
      </c>
      <c r="F68" s="77">
        <v>3.638422467680474</v>
      </c>
    </row>
    <row r="69">
      <c r="A69" s="76">
        <v>71.0</v>
      </c>
      <c r="B69" s="74" t="s">
        <v>150</v>
      </c>
      <c r="C69" s="74" t="s">
        <v>151</v>
      </c>
      <c r="D69" s="74" t="s">
        <v>30</v>
      </c>
      <c r="E69" s="74" t="s">
        <v>12</v>
      </c>
      <c r="F69" s="80">
        <v>9.468422467680472</v>
      </c>
    </row>
    <row r="70">
      <c r="A70" s="76">
        <v>70.0</v>
      </c>
      <c r="B70" s="74" t="s">
        <v>152</v>
      </c>
      <c r="C70" s="74" t="s">
        <v>153</v>
      </c>
      <c r="D70" s="74" t="s">
        <v>30</v>
      </c>
      <c r="E70" s="74" t="s">
        <v>12</v>
      </c>
      <c r="F70" s="77">
        <v>9.378422467680473</v>
      </c>
    </row>
    <row r="71">
      <c r="A71" s="76">
        <v>50.0</v>
      </c>
      <c r="B71" s="74" t="s">
        <v>33</v>
      </c>
      <c r="C71" s="74" t="s">
        <v>34</v>
      </c>
      <c r="D71" s="74" t="s">
        <v>30</v>
      </c>
      <c r="E71" s="74" t="s">
        <v>88</v>
      </c>
      <c r="F71" s="80">
        <v>34.31842246768048</v>
      </c>
    </row>
    <row r="72">
      <c r="A72" s="76">
        <v>29.0</v>
      </c>
      <c r="B72" s="74" t="s">
        <v>122</v>
      </c>
      <c r="C72" s="74" t="s">
        <v>123</v>
      </c>
      <c r="D72" s="74" t="s">
        <v>11</v>
      </c>
      <c r="E72" s="74" t="s">
        <v>72</v>
      </c>
      <c r="F72" s="77">
        <v>15.738422467680474</v>
      </c>
    </row>
    <row r="73">
      <c r="A73" s="76">
        <v>46.0</v>
      </c>
      <c r="B73" s="74" t="s">
        <v>143</v>
      </c>
      <c r="C73" s="74" t="s">
        <v>144</v>
      </c>
      <c r="D73" s="74" t="s">
        <v>11</v>
      </c>
      <c r="E73" s="74" t="s">
        <v>68</v>
      </c>
      <c r="F73" s="80">
        <v>6.848422467680474</v>
      </c>
    </row>
    <row r="74">
      <c r="A74" s="76">
        <v>25.0</v>
      </c>
      <c r="B74" s="74" t="s">
        <v>154</v>
      </c>
      <c r="C74" s="74" t="s">
        <v>155</v>
      </c>
      <c r="D74" s="74" t="s">
        <v>30</v>
      </c>
      <c r="E74" s="74" t="s">
        <v>56</v>
      </c>
      <c r="F74" s="77">
        <v>59.27842246768048</v>
      </c>
    </row>
    <row r="75">
      <c r="A75" s="76">
        <v>99.0</v>
      </c>
      <c r="B75" s="74" t="s">
        <v>73</v>
      </c>
      <c r="C75" s="74" t="s">
        <v>74</v>
      </c>
      <c r="D75" s="74" t="s">
        <v>30</v>
      </c>
      <c r="E75" s="74" t="s">
        <v>43</v>
      </c>
      <c r="F75" s="80">
        <v>14.508422467680473</v>
      </c>
    </row>
    <row r="76">
      <c r="A76" s="76">
        <v>62.0</v>
      </c>
      <c r="B76" s="74" t="s">
        <v>156</v>
      </c>
      <c r="C76" s="74" t="s">
        <v>157</v>
      </c>
      <c r="D76" s="74" t="s">
        <v>11</v>
      </c>
      <c r="E76" s="74" t="s">
        <v>35</v>
      </c>
      <c r="F76" s="77">
        <v>11.348422467680473</v>
      </c>
    </row>
    <row r="77">
      <c r="A77" s="76">
        <v>66.0</v>
      </c>
      <c r="B77" s="74" t="s">
        <v>150</v>
      </c>
      <c r="C77" s="74" t="s">
        <v>158</v>
      </c>
      <c r="D77" s="74" t="s">
        <v>11</v>
      </c>
      <c r="E77" s="74" t="s">
        <v>97</v>
      </c>
      <c r="F77" s="80">
        <v>4.318422467680474</v>
      </c>
    </row>
    <row r="78">
      <c r="A78" s="76">
        <v>64.0</v>
      </c>
      <c r="B78" s="74" t="s">
        <v>159</v>
      </c>
      <c r="C78" s="74" t="s">
        <v>160</v>
      </c>
      <c r="D78" s="74" t="s">
        <v>30</v>
      </c>
      <c r="E78" s="74" t="s">
        <v>68</v>
      </c>
      <c r="F78" s="77">
        <v>10.668422467680474</v>
      </c>
    </row>
    <row r="79">
      <c r="A79" s="76">
        <v>83.0</v>
      </c>
      <c r="B79" s="74" t="s">
        <v>98</v>
      </c>
      <c r="C79" s="74" t="s">
        <v>99</v>
      </c>
      <c r="D79" s="74" t="s">
        <v>30</v>
      </c>
      <c r="E79" s="74" t="s">
        <v>56</v>
      </c>
      <c r="F79" s="80">
        <v>70.03842246768046</v>
      </c>
    </row>
    <row r="80">
      <c r="A80" s="76">
        <v>20.0</v>
      </c>
      <c r="B80" s="74" t="s">
        <v>161</v>
      </c>
      <c r="C80" s="74" t="s">
        <v>162</v>
      </c>
      <c r="D80" s="74" t="s">
        <v>11</v>
      </c>
      <c r="E80" s="74" t="s">
        <v>31</v>
      </c>
      <c r="F80" s="77">
        <v>50.408422467680474</v>
      </c>
    </row>
    <row r="81">
      <c r="A81" s="76">
        <v>96.0</v>
      </c>
      <c r="B81" s="74" t="s">
        <v>163</v>
      </c>
      <c r="C81" s="74" t="s">
        <v>164</v>
      </c>
      <c r="D81" s="74" t="s">
        <v>11</v>
      </c>
      <c r="E81" s="74" t="s">
        <v>39</v>
      </c>
      <c r="F81" s="80">
        <v>19.118422467680475</v>
      </c>
    </row>
    <row r="82">
      <c r="A82" s="76">
        <v>62.0</v>
      </c>
      <c r="B82" s="74" t="s">
        <v>156</v>
      </c>
      <c r="C82" s="74" t="s">
        <v>157</v>
      </c>
      <c r="D82" s="74" t="s">
        <v>11</v>
      </c>
      <c r="E82" s="74" t="s">
        <v>12</v>
      </c>
      <c r="F82" s="77">
        <v>9.668422467680474</v>
      </c>
    </row>
    <row r="83">
      <c r="A83" s="76">
        <v>58.0</v>
      </c>
      <c r="B83" s="74" t="s">
        <v>165</v>
      </c>
      <c r="C83" s="74" t="s">
        <v>166</v>
      </c>
      <c r="D83" s="74" t="s">
        <v>30</v>
      </c>
      <c r="E83" s="74" t="s">
        <v>52</v>
      </c>
      <c r="F83" s="80">
        <v>48.24842246768048</v>
      </c>
    </row>
    <row r="84">
      <c r="A84" s="76">
        <v>5.0</v>
      </c>
      <c r="B84" s="74" t="s">
        <v>167</v>
      </c>
      <c r="C84" s="74" t="s">
        <v>168</v>
      </c>
      <c r="D84" s="74" t="s">
        <v>11</v>
      </c>
      <c r="E84" s="74" t="s">
        <v>79</v>
      </c>
      <c r="F84" s="77">
        <v>30.078422467680475</v>
      </c>
    </row>
    <row r="85">
      <c r="A85" s="76">
        <v>77.0</v>
      </c>
      <c r="B85" s="74" t="s">
        <v>9</v>
      </c>
      <c r="C85" s="74" t="s">
        <v>169</v>
      </c>
      <c r="D85" s="74" t="s">
        <v>30</v>
      </c>
      <c r="E85" s="74" t="s">
        <v>91</v>
      </c>
      <c r="F85" s="80">
        <v>1.5584224676804739</v>
      </c>
    </row>
    <row r="86">
      <c r="A86" s="76">
        <v>89.0</v>
      </c>
      <c r="B86" s="74" t="s">
        <v>135</v>
      </c>
      <c r="C86" s="74" t="s">
        <v>136</v>
      </c>
      <c r="D86" s="74" t="s">
        <v>11</v>
      </c>
      <c r="E86" s="74" t="s">
        <v>31</v>
      </c>
      <c r="F86" s="77">
        <v>38.23842246768047</v>
      </c>
    </row>
    <row r="87">
      <c r="A87" s="76">
        <v>96.0</v>
      </c>
      <c r="B87" s="74" t="s">
        <v>163</v>
      </c>
      <c r="C87" s="74" t="s">
        <v>164</v>
      </c>
      <c r="D87" s="74" t="s">
        <v>30</v>
      </c>
      <c r="E87" s="74" t="s">
        <v>94</v>
      </c>
      <c r="F87" s="80">
        <v>30.138422467680474</v>
      </c>
    </row>
    <row r="88">
      <c r="A88" s="76">
        <v>42.0</v>
      </c>
      <c r="B88" s="74" t="s">
        <v>92</v>
      </c>
      <c r="C88" s="74" t="s">
        <v>170</v>
      </c>
      <c r="D88" s="74" t="s">
        <v>30</v>
      </c>
      <c r="E88" s="74" t="s">
        <v>76</v>
      </c>
      <c r="F88" s="77">
        <v>10.708422467680473</v>
      </c>
    </row>
    <row r="89">
      <c r="A89" s="76">
        <v>20.0</v>
      </c>
      <c r="B89" s="74" t="s">
        <v>161</v>
      </c>
      <c r="C89" s="74" t="s">
        <v>162</v>
      </c>
      <c r="D89" s="74" t="s">
        <v>30</v>
      </c>
      <c r="E89" s="74" t="s">
        <v>50</v>
      </c>
      <c r="F89" s="80">
        <v>31.198422467680473</v>
      </c>
    </row>
    <row r="90">
      <c r="A90" s="76">
        <v>14.0</v>
      </c>
      <c r="B90" s="74" t="s">
        <v>171</v>
      </c>
      <c r="C90" s="74" t="s">
        <v>172</v>
      </c>
      <c r="D90" s="74" t="s">
        <v>11</v>
      </c>
      <c r="E90" s="74" t="s">
        <v>85</v>
      </c>
      <c r="F90" s="77">
        <v>10.818422467680474</v>
      </c>
    </row>
    <row r="91">
      <c r="A91" s="76">
        <v>27.0</v>
      </c>
      <c r="B91" s="74" t="s">
        <v>173</v>
      </c>
      <c r="C91" s="74" t="s">
        <v>174</v>
      </c>
      <c r="D91" s="74" t="s">
        <v>30</v>
      </c>
      <c r="E91" s="74" t="s">
        <v>68</v>
      </c>
      <c r="F91" s="80">
        <v>7.838422467680474</v>
      </c>
    </row>
    <row r="92">
      <c r="A92" s="76">
        <v>50.0</v>
      </c>
      <c r="B92" s="74" t="s">
        <v>33</v>
      </c>
      <c r="C92" s="74" t="s">
        <v>34</v>
      </c>
      <c r="D92" s="74" t="s">
        <v>30</v>
      </c>
      <c r="E92" s="74" t="s">
        <v>43</v>
      </c>
      <c r="F92" s="77">
        <v>17.498422467680474</v>
      </c>
    </row>
    <row r="93">
      <c r="A93" s="76">
        <v>93.0</v>
      </c>
      <c r="B93" s="74" t="s">
        <v>129</v>
      </c>
      <c r="C93" s="74" t="s">
        <v>130</v>
      </c>
      <c r="D93" s="74" t="s">
        <v>11</v>
      </c>
      <c r="E93" s="74" t="s">
        <v>82</v>
      </c>
      <c r="F93" s="80">
        <v>9.648422467680474</v>
      </c>
    </row>
    <row r="94">
      <c r="A94" s="76">
        <v>16.0</v>
      </c>
      <c r="B94" s="74" t="s">
        <v>175</v>
      </c>
      <c r="C94" s="74" t="s">
        <v>176</v>
      </c>
      <c r="D94" s="74" t="s">
        <v>11</v>
      </c>
      <c r="E94" s="74" t="s">
        <v>88</v>
      </c>
      <c r="F94" s="77">
        <v>36.66842246768047</v>
      </c>
    </row>
    <row r="95">
      <c r="A95" s="76">
        <v>42.0</v>
      </c>
      <c r="B95" s="74" t="s">
        <v>92</v>
      </c>
      <c r="C95" s="74" t="s">
        <v>170</v>
      </c>
      <c r="D95" s="74" t="s">
        <v>30</v>
      </c>
      <c r="E95" s="74" t="s">
        <v>94</v>
      </c>
      <c r="F95" s="80">
        <v>29.138422467680474</v>
      </c>
    </row>
    <row r="96">
      <c r="A96" s="76">
        <v>54.0</v>
      </c>
      <c r="B96" s="74" t="s">
        <v>86</v>
      </c>
      <c r="C96" s="74" t="s">
        <v>87</v>
      </c>
      <c r="D96" s="74" t="s">
        <v>30</v>
      </c>
      <c r="E96" s="74" t="s">
        <v>91</v>
      </c>
      <c r="F96" s="77">
        <v>2.198422467680474</v>
      </c>
    </row>
    <row r="97">
      <c r="A97" s="76">
        <v>34.0</v>
      </c>
      <c r="B97" s="74" t="s">
        <v>177</v>
      </c>
      <c r="C97" s="74" t="s">
        <v>178</v>
      </c>
      <c r="D97" s="74" t="s">
        <v>11</v>
      </c>
      <c r="E97" s="74" t="s">
        <v>31</v>
      </c>
      <c r="F97" s="80">
        <v>52.37842246768047</v>
      </c>
    </row>
    <row r="98">
      <c r="A98" s="76">
        <v>49.0</v>
      </c>
      <c r="B98" s="74" t="s">
        <v>179</v>
      </c>
      <c r="C98" s="74" t="s">
        <v>180</v>
      </c>
      <c r="D98" s="74" t="s">
        <v>30</v>
      </c>
      <c r="E98" s="74" t="s">
        <v>91</v>
      </c>
      <c r="F98" s="77">
        <v>2.778422467680474</v>
      </c>
    </row>
    <row r="99">
      <c r="A99" s="76">
        <v>69.0</v>
      </c>
      <c r="B99" s="74" t="s">
        <v>108</v>
      </c>
      <c r="C99" s="74" t="s">
        <v>145</v>
      </c>
      <c r="D99" s="74" t="s">
        <v>11</v>
      </c>
      <c r="E99" s="74" t="s">
        <v>76</v>
      </c>
      <c r="F99" s="80">
        <v>10.458422467680473</v>
      </c>
    </row>
    <row r="100">
      <c r="A100" s="76">
        <v>83.0</v>
      </c>
      <c r="B100" s="74" t="s">
        <v>98</v>
      </c>
      <c r="C100" s="74" t="s">
        <v>99</v>
      </c>
      <c r="D100" s="74" t="s">
        <v>30</v>
      </c>
      <c r="E100" s="74" t="s">
        <v>12</v>
      </c>
      <c r="F100" s="77">
        <v>9.538422467680473</v>
      </c>
    </row>
    <row r="101">
      <c r="A101" s="76">
        <v>61.0</v>
      </c>
      <c r="B101" s="74" t="s">
        <v>106</v>
      </c>
      <c r="C101" s="74" t="s">
        <v>107</v>
      </c>
      <c r="D101" s="74" t="s">
        <v>11</v>
      </c>
      <c r="E101" s="74" t="s">
        <v>31</v>
      </c>
      <c r="F101" s="80">
        <v>43.728422467680474</v>
      </c>
    </row>
    <row r="102">
      <c r="A102" s="76">
        <v>2.0</v>
      </c>
      <c r="B102" s="74" t="s">
        <v>83</v>
      </c>
      <c r="C102" s="74" t="s">
        <v>84</v>
      </c>
      <c r="D102" s="74" t="s">
        <v>11</v>
      </c>
      <c r="E102" s="74" t="s">
        <v>82</v>
      </c>
      <c r="F102" s="77">
        <v>10.388422467680472</v>
      </c>
    </row>
    <row r="103">
      <c r="A103" s="76">
        <v>36.0</v>
      </c>
      <c r="B103" s="74" t="s">
        <v>92</v>
      </c>
      <c r="C103" s="74" t="s">
        <v>93</v>
      </c>
      <c r="D103" s="74" t="s">
        <v>30</v>
      </c>
      <c r="E103" s="74" t="s">
        <v>85</v>
      </c>
      <c r="F103" s="80">
        <v>13.518422467680473</v>
      </c>
    </row>
    <row r="104">
      <c r="A104" s="76">
        <v>80.0</v>
      </c>
      <c r="B104" s="74" t="s">
        <v>37</v>
      </c>
      <c r="C104" s="74" t="s">
        <v>38</v>
      </c>
      <c r="D104" s="74" t="s">
        <v>11</v>
      </c>
      <c r="E104" s="74" t="s">
        <v>52</v>
      </c>
      <c r="F104" s="77">
        <v>46.83842246768047</v>
      </c>
    </row>
    <row r="105">
      <c r="A105" s="76">
        <v>3.0</v>
      </c>
      <c r="B105" s="74" t="s">
        <v>80</v>
      </c>
      <c r="C105" s="74" t="s">
        <v>81</v>
      </c>
      <c r="D105" s="74" t="s">
        <v>30</v>
      </c>
      <c r="E105" s="74" t="s">
        <v>72</v>
      </c>
      <c r="F105" s="80">
        <v>20.528422467680475</v>
      </c>
    </row>
    <row r="106">
      <c r="A106" s="76">
        <v>52.0</v>
      </c>
      <c r="B106" s="74" t="s">
        <v>181</v>
      </c>
      <c r="C106" s="74" t="s">
        <v>182</v>
      </c>
      <c r="D106" s="74" t="s">
        <v>30</v>
      </c>
      <c r="E106" s="74" t="s">
        <v>60</v>
      </c>
      <c r="F106" s="77">
        <v>52.23842246768047</v>
      </c>
    </row>
    <row r="107">
      <c r="A107" s="76">
        <v>16.0</v>
      </c>
      <c r="B107" s="74" t="s">
        <v>175</v>
      </c>
      <c r="C107" s="74" t="s">
        <v>176</v>
      </c>
      <c r="D107" s="74" t="s">
        <v>11</v>
      </c>
      <c r="E107" s="74" t="s">
        <v>76</v>
      </c>
      <c r="F107" s="80">
        <v>11.528422467680473</v>
      </c>
    </row>
    <row r="108">
      <c r="A108" s="76">
        <v>62.0</v>
      </c>
      <c r="B108" s="74" t="s">
        <v>156</v>
      </c>
      <c r="C108" s="74" t="s">
        <v>157</v>
      </c>
      <c r="D108" s="74" t="s">
        <v>30</v>
      </c>
      <c r="E108" s="74" t="s">
        <v>72</v>
      </c>
      <c r="F108" s="77">
        <v>23.808422467680476</v>
      </c>
    </row>
    <row r="109">
      <c r="A109" s="76">
        <v>6.0</v>
      </c>
      <c r="B109" s="74" t="s">
        <v>183</v>
      </c>
      <c r="C109" s="74" t="s">
        <v>184</v>
      </c>
      <c r="D109" s="74" t="s">
        <v>30</v>
      </c>
      <c r="E109" s="74" t="s">
        <v>91</v>
      </c>
      <c r="F109" s="80">
        <v>1.888422467680474</v>
      </c>
    </row>
    <row r="110">
      <c r="A110" s="76">
        <v>95.0</v>
      </c>
      <c r="B110" s="74" t="s">
        <v>110</v>
      </c>
      <c r="C110" s="74" t="s">
        <v>111</v>
      </c>
      <c r="D110" s="74" t="s">
        <v>11</v>
      </c>
      <c r="E110" s="74" t="s">
        <v>52</v>
      </c>
      <c r="F110" s="77">
        <v>46.10842246768048</v>
      </c>
    </row>
    <row r="111">
      <c r="A111" s="76">
        <v>40.0</v>
      </c>
      <c r="B111" s="74" t="s">
        <v>122</v>
      </c>
      <c r="C111" s="74" t="s">
        <v>185</v>
      </c>
      <c r="D111" s="74" t="s">
        <v>30</v>
      </c>
      <c r="E111" s="74" t="s">
        <v>68</v>
      </c>
      <c r="F111" s="80">
        <v>6.498422467680474</v>
      </c>
    </row>
    <row r="112">
      <c r="A112" s="76">
        <v>71.0</v>
      </c>
      <c r="B112" s="74" t="s">
        <v>150</v>
      </c>
      <c r="C112" s="74" t="s">
        <v>151</v>
      </c>
      <c r="D112" s="74" t="s">
        <v>11</v>
      </c>
      <c r="E112" s="74" t="s">
        <v>68</v>
      </c>
      <c r="F112" s="77">
        <v>18.298422467680474</v>
      </c>
    </row>
    <row r="113">
      <c r="A113" s="76">
        <v>21.0</v>
      </c>
      <c r="B113" s="74" t="s">
        <v>186</v>
      </c>
      <c r="C113" s="74" t="s">
        <v>187</v>
      </c>
      <c r="D113" s="74" t="s">
        <v>30</v>
      </c>
      <c r="E113" s="74" t="s">
        <v>46</v>
      </c>
      <c r="F113" s="80">
        <v>11.148422467680474</v>
      </c>
    </row>
    <row r="114">
      <c r="A114" s="76">
        <v>12.0</v>
      </c>
      <c r="B114" s="74" t="s">
        <v>188</v>
      </c>
      <c r="C114" s="74" t="s">
        <v>189</v>
      </c>
      <c r="D114" s="74" t="s">
        <v>11</v>
      </c>
      <c r="E114" s="74" t="s">
        <v>76</v>
      </c>
      <c r="F114" s="77">
        <v>10.678422467680473</v>
      </c>
    </row>
    <row r="115">
      <c r="A115" s="76">
        <v>16.0</v>
      </c>
      <c r="B115" s="74" t="s">
        <v>175</v>
      </c>
      <c r="C115" s="74" t="s">
        <v>176</v>
      </c>
      <c r="D115" s="74" t="s">
        <v>30</v>
      </c>
      <c r="E115" s="74" t="s">
        <v>31</v>
      </c>
      <c r="F115" s="80">
        <v>54.688422467680475</v>
      </c>
    </row>
    <row r="116">
      <c r="A116" s="76">
        <v>24.0</v>
      </c>
      <c r="B116" s="74" t="s">
        <v>139</v>
      </c>
      <c r="C116" s="74" t="s">
        <v>140</v>
      </c>
      <c r="D116" s="74" t="s">
        <v>11</v>
      </c>
      <c r="E116" s="74" t="s">
        <v>35</v>
      </c>
      <c r="F116" s="77">
        <v>11.618422467680473</v>
      </c>
    </row>
    <row r="117">
      <c r="A117" s="76">
        <v>57.0</v>
      </c>
      <c r="B117" s="74" t="s">
        <v>92</v>
      </c>
      <c r="C117" s="74" t="s">
        <v>190</v>
      </c>
      <c r="D117" s="74" t="s">
        <v>30</v>
      </c>
      <c r="E117" s="74" t="s">
        <v>56</v>
      </c>
      <c r="F117" s="80">
        <v>73.93842246768047</v>
      </c>
    </row>
    <row r="118">
      <c r="A118" s="76">
        <v>66.0</v>
      </c>
      <c r="B118" s="74" t="s">
        <v>150</v>
      </c>
      <c r="C118" s="74" t="s">
        <v>158</v>
      </c>
      <c r="D118" s="74" t="s">
        <v>30</v>
      </c>
      <c r="E118" s="74" t="s">
        <v>60</v>
      </c>
      <c r="F118" s="77">
        <v>40.23842246768047</v>
      </c>
    </row>
    <row r="119">
      <c r="A119" s="76">
        <v>33.0</v>
      </c>
      <c r="B119" s="74" t="s">
        <v>191</v>
      </c>
      <c r="C119" s="74" t="s">
        <v>192</v>
      </c>
      <c r="D119" s="74" t="s">
        <v>30</v>
      </c>
      <c r="E119" s="74" t="s">
        <v>50</v>
      </c>
      <c r="F119" s="80">
        <v>20.358422467680477</v>
      </c>
    </row>
    <row r="120">
      <c r="A120" s="76">
        <v>15.0</v>
      </c>
      <c r="B120" s="74" t="s">
        <v>58</v>
      </c>
      <c r="C120" s="74" t="s">
        <v>59</v>
      </c>
      <c r="D120" s="74" t="s">
        <v>30</v>
      </c>
      <c r="E120" s="74" t="s">
        <v>88</v>
      </c>
      <c r="F120" s="77">
        <v>30.998422467680477</v>
      </c>
    </row>
    <row r="121">
      <c r="A121" s="76">
        <v>19.0</v>
      </c>
      <c r="B121" s="74" t="s">
        <v>41</v>
      </c>
      <c r="C121" s="74" t="s">
        <v>193</v>
      </c>
      <c r="D121" s="74" t="s">
        <v>11</v>
      </c>
      <c r="E121" s="74" t="s">
        <v>79</v>
      </c>
      <c r="F121" s="80">
        <v>34.288422467680476</v>
      </c>
    </row>
    <row r="122">
      <c r="A122" s="76">
        <v>71.0</v>
      </c>
      <c r="B122" s="74" t="s">
        <v>150</v>
      </c>
      <c r="C122" s="74" t="s">
        <v>151</v>
      </c>
      <c r="D122" s="74" t="s">
        <v>30</v>
      </c>
      <c r="E122" s="74" t="s">
        <v>94</v>
      </c>
      <c r="F122" s="77">
        <v>29.348422467680475</v>
      </c>
    </row>
    <row r="123">
      <c r="A123" s="76">
        <v>91.0</v>
      </c>
      <c r="B123" s="74" t="s">
        <v>112</v>
      </c>
      <c r="C123" s="74" t="s">
        <v>113</v>
      </c>
      <c r="D123" s="74" t="s">
        <v>11</v>
      </c>
      <c r="E123" s="74" t="s">
        <v>35</v>
      </c>
      <c r="F123" s="80">
        <v>13.958422467680473</v>
      </c>
    </row>
    <row r="124">
      <c r="A124" s="76">
        <v>5.0</v>
      </c>
      <c r="B124" s="74" t="s">
        <v>167</v>
      </c>
      <c r="C124" s="74" t="s">
        <v>168</v>
      </c>
      <c r="D124" s="74" t="s">
        <v>11</v>
      </c>
      <c r="E124" s="74" t="s">
        <v>82</v>
      </c>
      <c r="F124" s="77">
        <v>12.208422467680473</v>
      </c>
    </row>
    <row r="125">
      <c r="A125" s="76">
        <v>1.0</v>
      </c>
      <c r="B125" s="74" t="s">
        <v>194</v>
      </c>
      <c r="C125" s="74" t="s">
        <v>195</v>
      </c>
      <c r="D125" s="74" t="s">
        <v>30</v>
      </c>
      <c r="E125" s="74" t="s">
        <v>52</v>
      </c>
      <c r="F125" s="80">
        <v>63.95842246768047</v>
      </c>
    </row>
    <row r="126">
      <c r="A126" s="76">
        <v>93.0</v>
      </c>
      <c r="B126" s="74" t="s">
        <v>129</v>
      </c>
      <c r="C126" s="74" t="s">
        <v>130</v>
      </c>
      <c r="D126" s="74" t="s">
        <v>11</v>
      </c>
      <c r="E126" s="74" t="s">
        <v>97</v>
      </c>
      <c r="F126" s="77">
        <v>2.318422467680474</v>
      </c>
    </row>
    <row r="127">
      <c r="A127" s="76">
        <v>98.0</v>
      </c>
      <c r="B127" s="74" t="s">
        <v>159</v>
      </c>
      <c r="C127" s="74" t="s">
        <v>196</v>
      </c>
      <c r="D127" s="74" t="s">
        <v>30</v>
      </c>
      <c r="E127" s="74" t="s">
        <v>85</v>
      </c>
      <c r="F127" s="80">
        <v>11.508422467680473</v>
      </c>
    </row>
    <row r="128">
      <c r="A128" s="76">
        <v>92.0</v>
      </c>
      <c r="B128" s="74" t="s">
        <v>112</v>
      </c>
      <c r="C128" s="74" t="s">
        <v>197</v>
      </c>
      <c r="D128" s="74" t="s">
        <v>30</v>
      </c>
      <c r="E128" s="74" t="s">
        <v>39</v>
      </c>
      <c r="F128" s="77">
        <v>41.788422467680476</v>
      </c>
    </row>
    <row r="129">
      <c r="A129" s="76">
        <v>38.0</v>
      </c>
      <c r="B129" s="74" t="s">
        <v>116</v>
      </c>
      <c r="C129" s="74" t="s">
        <v>117</v>
      </c>
      <c r="D129" s="74" t="s">
        <v>11</v>
      </c>
      <c r="E129" s="74" t="s">
        <v>43</v>
      </c>
      <c r="F129" s="80">
        <v>15.498422467680472</v>
      </c>
    </row>
    <row r="130">
      <c r="A130" s="76">
        <v>96.0</v>
      </c>
      <c r="B130" s="74" t="s">
        <v>163</v>
      </c>
      <c r="C130" s="74" t="s">
        <v>164</v>
      </c>
      <c r="D130" s="74" t="s">
        <v>30</v>
      </c>
      <c r="E130" s="74" t="s">
        <v>46</v>
      </c>
      <c r="F130" s="77">
        <v>12.418422467680474</v>
      </c>
    </row>
    <row r="131">
      <c r="A131" s="76">
        <v>1.0</v>
      </c>
      <c r="B131" s="74" t="s">
        <v>194</v>
      </c>
      <c r="C131" s="74" t="s">
        <v>195</v>
      </c>
      <c r="D131" s="74" t="s">
        <v>30</v>
      </c>
      <c r="E131" s="74" t="s">
        <v>31</v>
      </c>
      <c r="F131" s="80">
        <v>36.49842246768048</v>
      </c>
    </row>
    <row r="132">
      <c r="A132" s="76">
        <v>69.0</v>
      </c>
      <c r="B132" s="74" t="s">
        <v>108</v>
      </c>
      <c r="C132" s="74" t="s">
        <v>145</v>
      </c>
      <c r="D132" s="74" t="s">
        <v>30</v>
      </c>
      <c r="E132" s="74" t="s">
        <v>97</v>
      </c>
      <c r="F132" s="77">
        <v>1.2484224676804738</v>
      </c>
    </row>
    <row r="133">
      <c r="A133" s="76">
        <v>43.0</v>
      </c>
      <c r="B133" s="74" t="s">
        <v>95</v>
      </c>
      <c r="C133" s="74" t="s">
        <v>96</v>
      </c>
      <c r="D133" s="74" t="s">
        <v>11</v>
      </c>
      <c r="E133" s="74" t="s">
        <v>97</v>
      </c>
      <c r="F133" s="80">
        <v>1.3584224676804737</v>
      </c>
    </row>
    <row r="134">
      <c r="A134" s="76">
        <v>14.0</v>
      </c>
      <c r="B134" s="74" t="s">
        <v>171</v>
      </c>
      <c r="C134" s="74" t="s">
        <v>172</v>
      </c>
      <c r="D134" s="74" t="s">
        <v>11</v>
      </c>
      <c r="E134" s="74" t="s">
        <v>46</v>
      </c>
      <c r="F134" s="77">
        <v>11.428422467680473</v>
      </c>
    </row>
    <row r="135">
      <c r="A135" s="76">
        <v>43.0</v>
      </c>
      <c r="B135" s="74" t="s">
        <v>95</v>
      </c>
      <c r="C135" s="74" t="s">
        <v>96</v>
      </c>
      <c r="D135" s="74" t="s">
        <v>30</v>
      </c>
      <c r="E135" s="74" t="s">
        <v>35</v>
      </c>
      <c r="F135" s="80">
        <v>13.918422467680474</v>
      </c>
    </row>
    <row r="136">
      <c r="A136" s="76">
        <v>85.0</v>
      </c>
      <c r="B136" s="74" t="s">
        <v>198</v>
      </c>
      <c r="C136" s="74" t="s">
        <v>199</v>
      </c>
      <c r="D136" s="74" t="s">
        <v>11</v>
      </c>
      <c r="E136" s="74" t="s">
        <v>39</v>
      </c>
      <c r="F136" s="77">
        <v>30.998422467680477</v>
      </c>
    </row>
    <row r="137">
      <c r="A137" s="76">
        <v>62.0</v>
      </c>
      <c r="B137" s="74" t="s">
        <v>156</v>
      </c>
      <c r="C137" s="74" t="s">
        <v>157</v>
      </c>
      <c r="D137" s="74" t="s">
        <v>30</v>
      </c>
      <c r="E137" s="74" t="s">
        <v>39</v>
      </c>
      <c r="F137" s="80">
        <v>27.108422467680477</v>
      </c>
    </row>
    <row r="138">
      <c r="A138" s="76">
        <v>33.0</v>
      </c>
      <c r="B138" s="74" t="s">
        <v>191</v>
      </c>
      <c r="C138" s="74" t="s">
        <v>192</v>
      </c>
      <c r="D138" s="74" t="s">
        <v>11</v>
      </c>
      <c r="E138" s="74" t="s">
        <v>88</v>
      </c>
      <c r="F138" s="77">
        <v>37.13842246768048</v>
      </c>
    </row>
    <row r="139">
      <c r="A139" s="76">
        <v>27.0</v>
      </c>
      <c r="B139" s="74" t="s">
        <v>173</v>
      </c>
      <c r="C139" s="74" t="s">
        <v>174</v>
      </c>
      <c r="D139" s="74" t="s">
        <v>11</v>
      </c>
      <c r="E139" s="74" t="s">
        <v>56</v>
      </c>
      <c r="F139" s="80">
        <v>72.92842246768046</v>
      </c>
    </row>
    <row r="140">
      <c r="A140" s="76">
        <v>25.0</v>
      </c>
      <c r="B140" s="74" t="s">
        <v>154</v>
      </c>
      <c r="C140" s="74" t="s">
        <v>155</v>
      </c>
      <c r="D140" s="74" t="s">
        <v>30</v>
      </c>
      <c r="E140" s="74" t="s">
        <v>56</v>
      </c>
      <c r="F140" s="77">
        <v>60.038422467680476</v>
      </c>
    </row>
    <row r="141">
      <c r="A141" s="76">
        <v>17.0</v>
      </c>
      <c r="B141" s="74" t="s">
        <v>200</v>
      </c>
      <c r="C141" s="74" t="s">
        <v>201</v>
      </c>
      <c r="D141" s="74" t="s">
        <v>11</v>
      </c>
      <c r="E141" s="74" t="s">
        <v>46</v>
      </c>
      <c r="F141" s="80">
        <v>13.078422467680474</v>
      </c>
    </row>
    <row r="142">
      <c r="A142" s="76">
        <v>98.0</v>
      </c>
      <c r="B142" s="74" t="s">
        <v>159</v>
      </c>
      <c r="C142" s="74" t="s">
        <v>196</v>
      </c>
      <c r="D142" s="74" t="s">
        <v>11</v>
      </c>
      <c r="E142" s="74" t="s">
        <v>79</v>
      </c>
      <c r="F142" s="77">
        <v>26.678422467680473</v>
      </c>
    </row>
    <row r="143">
      <c r="A143" s="76">
        <v>39.0</v>
      </c>
      <c r="B143" s="74" t="s">
        <v>89</v>
      </c>
      <c r="C143" s="74" t="s">
        <v>90</v>
      </c>
      <c r="D143" s="74" t="s">
        <v>11</v>
      </c>
      <c r="E143" s="74" t="s">
        <v>68</v>
      </c>
      <c r="F143" s="80">
        <v>18.508422467680475</v>
      </c>
    </row>
    <row r="144">
      <c r="A144" s="76">
        <v>25.0</v>
      </c>
      <c r="B144" s="74" t="s">
        <v>154</v>
      </c>
      <c r="C144" s="74" t="s">
        <v>155</v>
      </c>
      <c r="D144" s="74" t="s">
        <v>30</v>
      </c>
      <c r="E144" s="74" t="s">
        <v>50</v>
      </c>
      <c r="F144" s="77">
        <v>32.59842246768047</v>
      </c>
    </row>
    <row r="145">
      <c r="A145" s="76">
        <v>55.0</v>
      </c>
      <c r="B145" s="74" t="s">
        <v>202</v>
      </c>
      <c r="C145" s="74" t="s">
        <v>203</v>
      </c>
      <c r="D145" s="74" t="s">
        <v>30</v>
      </c>
      <c r="E145" s="74" t="s">
        <v>52</v>
      </c>
      <c r="F145" s="80">
        <v>68.23842246768046</v>
      </c>
    </row>
    <row r="146">
      <c r="A146" s="76">
        <v>67.0</v>
      </c>
      <c r="B146" s="74" t="s">
        <v>204</v>
      </c>
      <c r="C146" s="74" t="s">
        <v>205</v>
      </c>
      <c r="D146" s="74" t="s">
        <v>30</v>
      </c>
      <c r="E146" s="74" t="s">
        <v>82</v>
      </c>
      <c r="F146" s="77">
        <v>11.868422467680473</v>
      </c>
    </row>
    <row r="147">
      <c r="A147" s="76">
        <v>68.0</v>
      </c>
      <c r="B147" s="74" t="s">
        <v>41</v>
      </c>
      <c r="C147" s="74" t="s">
        <v>42</v>
      </c>
      <c r="D147" s="74" t="s">
        <v>30</v>
      </c>
      <c r="E147" s="74" t="s">
        <v>97</v>
      </c>
      <c r="F147" s="80">
        <v>1.2584224676804736</v>
      </c>
    </row>
    <row r="148">
      <c r="A148" s="76">
        <v>14.0</v>
      </c>
      <c r="B148" s="74" t="s">
        <v>171</v>
      </c>
      <c r="C148" s="74" t="s">
        <v>172</v>
      </c>
      <c r="D148" s="74" t="s">
        <v>11</v>
      </c>
      <c r="E148" s="74" t="s">
        <v>94</v>
      </c>
      <c r="F148" s="77">
        <v>26.988422467680476</v>
      </c>
    </row>
    <row r="149">
      <c r="A149" s="76">
        <v>59.0</v>
      </c>
      <c r="B149" s="74" t="s">
        <v>103</v>
      </c>
      <c r="C149" s="74" t="s">
        <v>104</v>
      </c>
      <c r="D149" s="74" t="s">
        <v>30</v>
      </c>
      <c r="E149" s="74" t="s">
        <v>79</v>
      </c>
      <c r="F149" s="80">
        <v>34.508422467680475</v>
      </c>
    </row>
    <row r="150">
      <c r="A150" s="76">
        <v>50.0</v>
      </c>
      <c r="B150" s="74" t="s">
        <v>33</v>
      </c>
      <c r="C150" s="74" t="s">
        <v>34</v>
      </c>
      <c r="D150" s="74" t="s">
        <v>30</v>
      </c>
      <c r="E150" s="74" t="s">
        <v>91</v>
      </c>
      <c r="F150" s="77">
        <v>2.2184224676804734</v>
      </c>
    </row>
    <row r="151">
      <c r="A151" s="76">
        <v>33.0</v>
      </c>
      <c r="B151" s="74" t="s">
        <v>191</v>
      </c>
      <c r="C151" s="74" t="s">
        <v>192</v>
      </c>
      <c r="D151" s="74" t="s">
        <v>30</v>
      </c>
      <c r="E151" s="74" t="s">
        <v>43</v>
      </c>
      <c r="F151" s="80">
        <v>17.598422467680475</v>
      </c>
    </row>
    <row r="152">
      <c r="A152" s="76">
        <v>100.0</v>
      </c>
      <c r="B152" s="74" t="s">
        <v>48</v>
      </c>
      <c r="C152" s="74" t="s">
        <v>49</v>
      </c>
      <c r="D152" s="74" t="s">
        <v>30</v>
      </c>
      <c r="E152" s="74" t="s">
        <v>12</v>
      </c>
      <c r="F152" s="77">
        <v>9.718422467680472</v>
      </c>
    </row>
    <row r="153">
      <c r="A153" s="76">
        <v>88.0</v>
      </c>
      <c r="B153" s="74" t="s">
        <v>200</v>
      </c>
      <c r="C153" s="74" t="s">
        <v>206</v>
      </c>
      <c r="D153" s="74" t="s">
        <v>11</v>
      </c>
      <c r="E153" s="74" t="s">
        <v>39</v>
      </c>
      <c r="F153" s="80">
        <v>30.528422467680475</v>
      </c>
    </row>
    <row r="154">
      <c r="A154" s="76">
        <v>4.0</v>
      </c>
      <c r="B154" s="74" t="s">
        <v>118</v>
      </c>
      <c r="C154" s="74" t="s">
        <v>119</v>
      </c>
      <c r="D154" s="74" t="s">
        <v>11</v>
      </c>
      <c r="E154" s="74" t="s">
        <v>68</v>
      </c>
      <c r="F154" s="77">
        <v>5.718422467680474</v>
      </c>
    </row>
    <row r="155">
      <c r="A155" s="76">
        <v>85.0</v>
      </c>
      <c r="B155" s="74" t="s">
        <v>198</v>
      </c>
      <c r="C155" s="74" t="s">
        <v>199</v>
      </c>
      <c r="D155" s="74" t="s">
        <v>30</v>
      </c>
      <c r="E155" s="74" t="s">
        <v>35</v>
      </c>
      <c r="F155" s="80">
        <v>12.258422467680473</v>
      </c>
    </row>
    <row r="156">
      <c r="A156" s="76">
        <v>28.0</v>
      </c>
      <c r="B156" s="74" t="s">
        <v>77</v>
      </c>
      <c r="C156" s="74" t="s">
        <v>78</v>
      </c>
      <c r="D156" s="74" t="s">
        <v>11</v>
      </c>
      <c r="E156" s="74" t="s">
        <v>35</v>
      </c>
      <c r="F156" s="77">
        <v>19.588422467680473</v>
      </c>
    </row>
    <row r="157">
      <c r="A157" s="76">
        <v>55.0</v>
      </c>
      <c r="B157" s="74" t="s">
        <v>202</v>
      </c>
      <c r="C157" s="74" t="s">
        <v>203</v>
      </c>
      <c r="D157" s="74" t="s">
        <v>30</v>
      </c>
      <c r="E157" s="74" t="s">
        <v>46</v>
      </c>
      <c r="F157" s="80">
        <v>11.688422467680473</v>
      </c>
    </row>
    <row r="158">
      <c r="A158" s="76">
        <v>2.0</v>
      </c>
      <c r="B158" s="74" t="s">
        <v>83</v>
      </c>
      <c r="C158" s="74" t="s">
        <v>84</v>
      </c>
      <c r="D158" s="74" t="s">
        <v>11</v>
      </c>
      <c r="E158" s="74" t="s">
        <v>12</v>
      </c>
      <c r="F158" s="77">
        <v>9.508422467680473</v>
      </c>
    </row>
    <row r="159">
      <c r="A159" s="76">
        <v>67.0</v>
      </c>
      <c r="B159" s="74" t="s">
        <v>204</v>
      </c>
      <c r="C159" s="74" t="s">
        <v>205</v>
      </c>
      <c r="D159" s="74" t="s">
        <v>11</v>
      </c>
      <c r="E159" s="74" t="s">
        <v>56</v>
      </c>
      <c r="F159" s="80">
        <v>78.57842246768047</v>
      </c>
    </row>
    <row r="160">
      <c r="A160" s="76">
        <v>9.0</v>
      </c>
      <c r="B160" s="74" t="s">
        <v>207</v>
      </c>
      <c r="C160" s="74" t="s">
        <v>208</v>
      </c>
      <c r="D160" s="74" t="s">
        <v>30</v>
      </c>
      <c r="E160" s="74" t="s">
        <v>91</v>
      </c>
      <c r="F160" s="77">
        <v>2.2184224676804734</v>
      </c>
    </row>
    <row r="161">
      <c r="A161" s="76">
        <v>34.0</v>
      </c>
      <c r="B161" s="74" t="s">
        <v>177</v>
      </c>
      <c r="C161" s="74" t="s">
        <v>178</v>
      </c>
      <c r="D161" s="74" t="s">
        <v>30</v>
      </c>
      <c r="E161" s="74" t="s">
        <v>72</v>
      </c>
      <c r="F161" s="80">
        <v>21.838422467680473</v>
      </c>
    </row>
    <row r="162">
      <c r="A162" s="76">
        <v>38.0</v>
      </c>
      <c r="B162" s="74" t="s">
        <v>116</v>
      </c>
      <c r="C162" s="74" t="s">
        <v>117</v>
      </c>
      <c r="D162" s="74" t="s">
        <v>11</v>
      </c>
      <c r="E162" s="74" t="s">
        <v>94</v>
      </c>
      <c r="F162" s="77">
        <v>29.918422467680475</v>
      </c>
    </row>
    <row r="163">
      <c r="A163" s="76">
        <v>95.0</v>
      </c>
      <c r="B163" s="74" t="s">
        <v>110</v>
      </c>
      <c r="C163" s="74" t="s">
        <v>111</v>
      </c>
      <c r="D163" s="74" t="s">
        <v>11</v>
      </c>
      <c r="E163" s="74" t="s">
        <v>88</v>
      </c>
      <c r="F163" s="80">
        <v>33.95842246768048</v>
      </c>
    </row>
    <row r="164">
      <c r="A164" s="76">
        <v>20.0</v>
      </c>
      <c r="B164" s="74" t="s">
        <v>161</v>
      </c>
      <c r="C164" s="74" t="s">
        <v>162</v>
      </c>
      <c r="D164" s="74" t="s">
        <v>11</v>
      </c>
      <c r="E164" s="74" t="s">
        <v>94</v>
      </c>
      <c r="F164" s="77">
        <v>30.238422467680476</v>
      </c>
    </row>
    <row r="165">
      <c r="A165" s="76">
        <v>21.0</v>
      </c>
      <c r="B165" s="74" t="s">
        <v>186</v>
      </c>
      <c r="C165" s="74" t="s">
        <v>187</v>
      </c>
      <c r="D165" s="74" t="s">
        <v>30</v>
      </c>
      <c r="E165" s="74" t="s">
        <v>91</v>
      </c>
      <c r="F165" s="80">
        <v>2.728422467680474</v>
      </c>
    </row>
    <row r="166">
      <c r="A166" s="76">
        <v>15.0</v>
      </c>
      <c r="B166" s="74" t="s">
        <v>58</v>
      </c>
      <c r="C166" s="74" t="s">
        <v>59</v>
      </c>
      <c r="D166" s="74" t="s">
        <v>11</v>
      </c>
      <c r="E166" s="74" t="s">
        <v>72</v>
      </c>
      <c r="F166" s="77">
        <v>20.178422467680473</v>
      </c>
    </row>
    <row r="167">
      <c r="A167" s="76">
        <v>65.0</v>
      </c>
      <c r="B167" s="74" t="s">
        <v>209</v>
      </c>
      <c r="C167" s="74" t="s">
        <v>210</v>
      </c>
      <c r="D167" s="74" t="s">
        <v>30</v>
      </c>
      <c r="E167" s="74" t="s">
        <v>56</v>
      </c>
      <c r="F167" s="80">
        <v>75.94842246768047</v>
      </c>
    </row>
    <row r="168">
      <c r="A168" s="76">
        <v>54.0</v>
      </c>
      <c r="B168" s="74" t="s">
        <v>86</v>
      </c>
      <c r="C168" s="74" t="s">
        <v>87</v>
      </c>
      <c r="D168" s="74" t="s">
        <v>30</v>
      </c>
      <c r="E168" s="74" t="s">
        <v>76</v>
      </c>
      <c r="F168" s="77">
        <v>9.678422467680473</v>
      </c>
    </row>
    <row r="169">
      <c r="A169" s="76">
        <v>36.0</v>
      </c>
      <c r="B169" s="74" t="s">
        <v>92</v>
      </c>
      <c r="C169" s="74" t="s">
        <v>93</v>
      </c>
      <c r="D169" s="74" t="s">
        <v>30</v>
      </c>
      <c r="E169" s="74" t="s">
        <v>43</v>
      </c>
      <c r="F169" s="80">
        <v>13.838422467680473</v>
      </c>
    </row>
    <row r="170">
      <c r="A170" s="76">
        <v>60.0</v>
      </c>
      <c r="B170" s="74" t="s">
        <v>65</v>
      </c>
      <c r="C170" s="74" t="s">
        <v>66</v>
      </c>
      <c r="D170" s="74" t="s">
        <v>11</v>
      </c>
      <c r="E170" s="74" t="s">
        <v>50</v>
      </c>
      <c r="F170" s="77">
        <v>20.768422467680473</v>
      </c>
    </row>
    <row r="171">
      <c r="A171" s="76">
        <v>21.0</v>
      </c>
      <c r="B171" s="74" t="s">
        <v>186</v>
      </c>
      <c r="C171" s="74" t="s">
        <v>187</v>
      </c>
      <c r="D171" s="74" t="s">
        <v>30</v>
      </c>
      <c r="E171" s="74" t="s">
        <v>35</v>
      </c>
      <c r="F171" s="80">
        <v>14.048422467680473</v>
      </c>
    </row>
    <row r="172">
      <c r="A172" s="76">
        <v>26.0</v>
      </c>
      <c r="B172" s="74" t="s">
        <v>211</v>
      </c>
      <c r="C172" s="74" t="s">
        <v>212</v>
      </c>
      <c r="D172" s="74" t="s">
        <v>30</v>
      </c>
      <c r="E172" s="74" t="s">
        <v>52</v>
      </c>
      <c r="F172" s="77">
        <v>59.618422467680475</v>
      </c>
    </row>
    <row r="173">
      <c r="A173" s="76">
        <v>33.0</v>
      </c>
      <c r="B173" s="74" t="s">
        <v>191</v>
      </c>
      <c r="C173" s="74" t="s">
        <v>192</v>
      </c>
      <c r="D173" s="74" t="s">
        <v>11</v>
      </c>
      <c r="E173" s="74" t="s">
        <v>50</v>
      </c>
      <c r="F173" s="80">
        <v>29.258422467680475</v>
      </c>
    </row>
    <row r="174">
      <c r="A174" s="76">
        <v>85.0</v>
      </c>
      <c r="B174" s="74" t="s">
        <v>198</v>
      </c>
      <c r="C174" s="74" t="s">
        <v>199</v>
      </c>
      <c r="D174" s="74" t="s">
        <v>11</v>
      </c>
      <c r="E174" s="74" t="s">
        <v>94</v>
      </c>
      <c r="F174" s="77">
        <v>30.618422467680475</v>
      </c>
    </row>
    <row r="175">
      <c r="A175" s="76">
        <v>96.0</v>
      </c>
      <c r="B175" s="74" t="s">
        <v>163</v>
      </c>
      <c r="C175" s="74" t="s">
        <v>164</v>
      </c>
      <c r="D175" s="74" t="s">
        <v>11</v>
      </c>
      <c r="E175" s="74" t="s">
        <v>52</v>
      </c>
      <c r="F175" s="80">
        <v>59.37842246768047</v>
      </c>
    </row>
    <row r="176">
      <c r="A176" s="76">
        <v>76.0</v>
      </c>
      <c r="B176" s="74" t="s">
        <v>213</v>
      </c>
      <c r="C176" s="74" t="s">
        <v>214</v>
      </c>
      <c r="D176" s="74" t="s">
        <v>30</v>
      </c>
      <c r="E176" s="74" t="s">
        <v>91</v>
      </c>
      <c r="F176" s="77">
        <v>3.178422467680474</v>
      </c>
    </row>
    <row r="177">
      <c r="A177" s="76">
        <v>100.0</v>
      </c>
      <c r="B177" s="74" t="s">
        <v>48</v>
      </c>
      <c r="C177" s="74" t="s">
        <v>49</v>
      </c>
      <c r="D177" s="74" t="s">
        <v>30</v>
      </c>
      <c r="E177" s="74" t="s">
        <v>72</v>
      </c>
      <c r="F177" s="80">
        <v>19.438422467680475</v>
      </c>
    </row>
    <row r="178">
      <c r="A178" s="76">
        <v>86.0</v>
      </c>
      <c r="B178" s="74" t="s">
        <v>62</v>
      </c>
      <c r="C178" s="74" t="s">
        <v>63</v>
      </c>
      <c r="D178" s="74" t="s">
        <v>11</v>
      </c>
      <c r="E178" s="74" t="s">
        <v>39</v>
      </c>
      <c r="F178" s="77">
        <v>17.078422467680475</v>
      </c>
    </row>
    <row r="179">
      <c r="A179" s="76">
        <v>3.0</v>
      </c>
      <c r="B179" s="74" t="s">
        <v>80</v>
      </c>
      <c r="C179" s="74" t="s">
        <v>81</v>
      </c>
      <c r="D179" s="74" t="s">
        <v>30</v>
      </c>
      <c r="E179" s="74" t="s">
        <v>88</v>
      </c>
      <c r="F179" s="80">
        <v>36.968422467680476</v>
      </c>
    </row>
    <row r="180">
      <c r="A180" s="76">
        <v>40.0</v>
      </c>
      <c r="B180" s="74" t="s">
        <v>122</v>
      </c>
      <c r="C180" s="74" t="s">
        <v>185</v>
      </c>
      <c r="D180" s="74" t="s">
        <v>30</v>
      </c>
      <c r="E180" s="74" t="s">
        <v>94</v>
      </c>
      <c r="F180" s="77">
        <v>27.068422467680474</v>
      </c>
    </row>
    <row r="181">
      <c r="A181" s="76">
        <v>100.0</v>
      </c>
      <c r="B181" s="74" t="s">
        <v>48</v>
      </c>
      <c r="C181" s="74" t="s">
        <v>49</v>
      </c>
      <c r="D181" s="74" t="s">
        <v>30</v>
      </c>
      <c r="E181" s="74" t="s">
        <v>97</v>
      </c>
      <c r="F181" s="80">
        <v>3.688422467680474</v>
      </c>
    </row>
    <row r="182">
      <c r="A182" s="76">
        <v>66.0</v>
      </c>
      <c r="B182" s="74" t="s">
        <v>150</v>
      </c>
      <c r="C182" s="74" t="s">
        <v>158</v>
      </c>
      <c r="D182" s="74" t="s">
        <v>11</v>
      </c>
      <c r="E182" s="74" t="s">
        <v>91</v>
      </c>
      <c r="F182" s="77">
        <v>0.8484224676804737</v>
      </c>
    </row>
    <row r="183">
      <c r="A183" s="76">
        <v>5.0</v>
      </c>
      <c r="B183" s="74" t="s">
        <v>167</v>
      </c>
      <c r="C183" s="74" t="s">
        <v>168</v>
      </c>
      <c r="D183" s="74" t="s">
        <v>11</v>
      </c>
      <c r="E183" s="74" t="s">
        <v>97</v>
      </c>
      <c r="F183" s="80">
        <v>3.0484224676804743</v>
      </c>
    </row>
    <row r="184">
      <c r="A184" s="76">
        <v>79.0</v>
      </c>
      <c r="B184" s="74" t="s">
        <v>101</v>
      </c>
      <c r="C184" s="74" t="s">
        <v>102</v>
      </c>
      <c r="D184" s="74" t="s">
        <v>11</v>
      </c>
      <c r="E184" s="74" t="s">
        <v>52</v>
      </c>
      <c r="F184" s="77">
        <v>55.74842246768048</v>
      </c>
    </row>
    <row r="185">
      <c r="A185" s="76">
        <v>43.0</v>
      </c>
      <c r="B185" s="74" t="s">
        <v>95</v>
      </c>
      <c r="C185" s="74" t="s">
        <v>96</v>
      </c>
      <c r="D185" s="74" t="s">
        <v>11</v>
      </c>
      <c r="E185" s="74" t="s">
        <v>88</v>
      </c>
      <c r="F185" s="80">
        <v>39.45842246768048</v>
      </c>
    </row>
    <row r="186">
      <c r="A186" s="76">
        <v>4.0</v>
      </c>
      <c r="B186" s="74" t="s">
        <v>118</v>
      </c>
      <c r="C186" s="74" t="s">
        <v>119</v>
      </c>
      <c r="D186" s="74" t="s">
        <v>11</v>
      </c>
      <c r="E186" s="74" t="s">
        <v>52</v>
      </c>
      <c r="F186" s="77">
        <v>60.67842246768048</v>
      </c>
    </row>
    <row r="187">
      <c r="A187" s="76">
        <v>32.0</v>
      </c>
      <c r="B187" s="74" t="s">
        <v>146</v>
      </c>
      <c r="C187" s="74" t="s">
        <v>147</v>
      </c>
      <c r="D187" s="74" t="s">
        <v>30</v>
      </c>
      <c r="E187" s="74" t="s">
        <v>43</v>
      </c>
      <c r="F187" s="80">
        <v>16.588422467680473</v>
      </c>
    </row>
    <row r="188">
      <c r="A188" s="76">
        <v>88.0</v>
      </c>
      <c r="B188" s="74" t="s">
        <v>200</v>
      </c>
      <c r="C188" s="74" t="s">
        <v>206</v>
      </c>
      <c r="D188" s="74" t="s">
        <v>30</v>
      </c>
      <c r="E188" s="74" t="s">
        <v>46</v>
      </c>
      <c r="F188" s="77">
        <v>12.498422467680474</v>
      </c>
    </row>
    <row r="189">
      <c r="A189" s="76">
        <v>83.0</v>
      </c>
      <c r="B189" s="74" t="s">
        <v>98</v>
      </c>
      <c r="C189" s="74" t="s">
        <v>99</v>
      </c>
      <c r="D189" s="74" t="s">
        <v>11</v>
      </c>
      <c r="E189" s="74" t="s">
        <v>60</v>
      </c>
      <c r="F189" s="80">
        <v>44.258422467680475</v>
      </c>
    </row>
    <row r="190">
      <c r="A190" s="76">
        <v>39.0</v>
      </c>
      <c r="B190" s="74" t="s">
        <v>89</v>
      </c>
      <c r="C190" s="74" t="s">
        <v>90</v>
      </c>
      <c r="D190" s="74" t="s">
        <v>11</v>
      </c>
      <c r="E190" s="74" t="s">
        <v>97</v>
      </c>
      <c r="F190" s="77">
        <v>4.288422467680474</v>
      </c>
    </row>
    <row r="191">
      <c r="A191" s="76">
        <v>44.0</v>
      </c>
      <c r="B191" s="74" t="s">
        <v>215</v>
      </c>
      <c r="C191" s="74" t="s">
        <v>216</v>
      </c>
      <c r="D191" s="74" t="s">
        <v>11</v>
      </c>
      <c r="E191" s="74" t="s">
        <v>39</v>
      </c>
      <c r="F191" s="80">
        <v>19.658422467680474</v>
      </c>
    </row>
    <row r="192">
      <c r="A192" s="76">
        <v>34.0</v>
      </c>
      <c r="B192" s="74" t="s">
        <v>177</v>
      </c>
      <c r="C192" s="74" t="s">
        <v>178</v>
      </c>
      <c r="D192" s="74" t="s">
        <v>30</v>
      </c>
      <c r="E192" s="74" t="s">
        <v>12</v>
      </c>
      <c r="F192" s="77">
        <v>9.188422467680473</v>
      </c>
    </row>
    <row r="193">
      <c r="A193" s="76">
        <v>25.0</v>
      </c>
      <c r="B193" s="74" t="s">
        <v>154</v>
      </c>
      <c r="C193" s="74" t="s">
        <v>155</v>
      </c>
      <c r="D193" s="74" t="s">
        <v>11</v>
      </c>
      <c r="E193" s="74" t="s">
        <v>85</v>
      </c>
      <c r="F193" s="80">
        <v>15.138422467680472</v>
      </c>
    </row>
    <row r="194">
      <c r="A194" s="76">
        <v>80.0</v>
      </c>
      <c r="B194" s="74" t="s">
        <v>37</v>
      </c>
      <c r="C194" s="74" t="s">
        <v>38</v>
      </c>
      <c r="D194" s="74" t="s">
        <v>30</v>
      </c>
      <c r="E194" s="74" t="s">
        <v>82</v>
      </c>
      <c r="F194" s="77">
        <v>10.828422467680474</v>
      </c>
    </row>
    <row r="195">
      <c r="A195" s="76">
        <v>56.0</v>
      </c>
      <c r="B195" s="74" t="s">
        <v>127</v>
      </c>
      <c r="C195" s="74" t="s">
        <v>128</v>
      </c>
      <c r="D195" s="74" t="s">
        <v>30</v>
      </c>
      <c r="E195" s="74" t="s">
        <v>72</v>
      </c>
      <c r="F195" s="80">
        <v>18.638422467680474</v>
      </c>
    </row>
    <row r="196">
      <c r="A196" s="76">
        <v>54.0</v>
      </c>
      <c r="B196" s="74" t="s">
        <v>86</v>
      </c>
      <c r="C196" s="74" t="s">
        <v>87</v>
      </c>
      <c r="D196" s="74" t="s">
        <v>11</v>
      </c>
      <c r="E196" s="74" t="s">
        <v>60</v>
      </c>
      <c r="F196" s="77">
        <v>55.508422467680475</v>
      </c>
    </row>
    <row r="197">
      <c r="A197" s="76">
        <v>68.0</v>
      </c>
      <c r="B197" s="74" t="s">
        <v>41</v>
      </c>
      <c r="C197" s="74" t="s">
        <v>42</v>
      </c>
      <c r="D197" s="74" t="s">
        <v>30</v>
      </c>
      <c r="E197" s="74" t="s">
        <v>97</v>
      </c>
      <c r="F197" s="80">
        <v>2.608422467680474</v>
      </c>
    </row>
    <row r="198">
      <c r="A198" s="76">
        <v>76.0</v>
      </c>
      <c r="B198" s="74" t="s">
        <v>213</v>
      </c>
      <c r="C198" s="74" t="s">
        <v>214</v>
      </c>
      <c r="D198" s="74" t="s">
        <v>30</v>
      </c>
      <c r="E198" s="74" t="s">
        <v>79</v>
      </c>
      <c r="F198" s="77">
        <v>35.218422467680476</v>
      </c>
    </row>
    <row r="199">
      <c r="A199" s="76">
        <v>15.0</v>
      </c>
      <c r="B199" s="74" t="s">
        <v>58</v>
      </c>
      <c r="C199" s="74" t="s">
        <v>59</v>
      </c>
      <c r="D199" s="74" t="s">
        <v>30</v>
      </c>
      <c r="E199" s="74" t="s">
        <v>43</v>
      </c>
      <c r="F199" s="80">
        <v>15.478422467680472</v>
      </c>
    </row>
    <row r="200">
      <c r="A200" s="76">
        <v>48.0</v>
      </c>
      <c r="B200" s="74" t="s">
        <v>41</v>
      </c>
      <c r="C200" s="74" t="s">
        <v>45</v>
      </c>
      <c r="D200" s="74" t="s">
        <v>11</v>
      </c>
      <c r="E200" s="74" t="s">
        <v>52</v>
      </c>
      <c r="F200" s="77">
        <v>56.84842246768047</v>
      </c>
    </row>
    <row r="201">
      <c r="A201" s="76">
        <v>70.0</v>
      </c>
      <c r="B201" s="74" t="s">
        <v>152</v>
      </c>
      <c r="C201" s="74" t="s">
        <v>153</v>
      </c>
      <c r="D201" s="74" t="s">
        <v>11</v>
      </c>
      <c r="E201" s="74" t="s">
        <v>91</v>
      </c>
      <c r="F201" s="80">
        <v>2.428422467680474</v>
      </c>
    </row>
    <row r="202">
      <c r="A202" s="76">
        <v>41.0</v>
      </c>
      <c r="B202" s="74" t="s">
        <v>217</v>
      </c>
      <c r="C202" s="74" t="s">
        <v>218</v>
      </c>
      <c r="D202" s="74" t="s">
        <v>11</v>
      </c>
      <c r="E202" s="74" t="s">
        <v>97</v>
      </c>
      <c r="F202" s="77">
        <v>2.9584224676804736</v>
      </c>
    </row>
    <row r="203">
      <c r="A203" s="76">
        <v>74.0</v>
      </c>
      <c r="B203" s="74" t="s">
        <v>9</v>
      </c>
      <c r="C203" s="74" t="s">
        <v>124</v>
      </c>
      <c r="D203" s="74" t="s">
        <v>30</v>
      </c>
      <c r="E203" s="74" t="s">
        <v>35</v>
      </c>
      <c r="F203" s="80">
        <v>17.738422467680476</v>
      </c>
    </row>
    <row r="204">
      <c r="A204" s="76">
        <v>46.0</v>
      </c>
      <c r="B204" s="74" t="s">
        <v>143</v>
      </c>
      <c r="C204" s="74" t="s">
        <v>144</v>
      </c>
      <c r="D204" s="74" t="s">
        <v>30</v>
      </c>
      <c r="E204" s="74" t="s">
        <v>50</v>
      </c>
      <c r="F204" s="77">
        <v>24.988422467680476</v>
      </c>
    </row>
    <row r="205">
      <c r="A205" s="76">
        <v>67.0</v>
      </c>
      <c r="B205" s="74" t="s">
        <v>204</v>
      </c>
      <c r="C205" s="74" t="s">
        <v>205</v>
      </c>
      <c r="D205" s="74" t="s">
        <v>30</v>
      </c>
      <c r="E205" s="74" t="s">
        <v>31</v>
      </c>
      <c r="F205" s="80">
        <v>44.19842246768047</v>
      </c>
    </row>
    <row r="206">
      <c r="A206" s="76">
        <v>40.0</v>
      </c>
      <c r="B206" s="74" t="s">
        <v>122</v>
      </c>
      <c r="C206" s="74" t="s">
        <v>185</v>
      </c>
      <c r="D206" s="74" t="s">
        <v>30</v>
      </c>
      <c r="E206" s="74" t="s">
        <v>39</v>
      </c>
      <c r="F206" s="77">
        <v>40.438422467680475</v>
      </c>
    </row>
    <row r="207">
      <c r="A207" s="76">
        <v>6.0</v>
      </c>
      <c r="B207" s="74" t="s">
        <v>183</v>
      </c>
      <c r="C207" s="74" t="s">
        <v>184</v>
      </c>
      <c r="D207" s="74" t="s">
        <v>30</v>
      </c>
      <c r="E207" s="74" t="s">
        <v>72</v>
      </c>
      <c r="F207" s="80">
        <v>17.758422467680475</v>
      </c>
    </row>
    <row r="208">
      <c r="A208" s="76">
        <v>46.0</v>
      </c>
      <c r="B208" s="74" t="s">
        <v>143</v>
      </c>
      <c r="C208" s="74" t="s">
        <v>144</v>
      </c>
      <c r="D208" s="74" t="s">
        <v>11</v>
      </c>
      <c r="E208" s="74" t="s">
        <v>76</v>
      </c>
      <c r="F208" s="77">
        <v>10.628422467680473</v>
      </c>
    </row>
    <row r="209">
      <c r="A209" s="76">
        <v>47.0</v>
      </c>
      <c r="B209" s="74" t="s">
        <v>120</v>
      </c>
      <c r="C209" s="74" t="s">
        <v>121</v>
      </c>
      <c r="D209" s="74" t="s">
        <v>11</v>
      </c>
      <c r="E209" s="74" t="s">
        <v>12</v>
      </c>
      <c r="F209" s="80">
        <v>9.438422467680473</v>
      </c>
    </row>
    <row r="210">
      <c r="A210" s="76">
        <v>30.0</v>
      </c>
      <c r="B210" s="74" t="s">
        <v>9</v>
      </c>
      <c r="C210" s="74" t="s">
        <v>10</v>
      </c>
      <c r="D210" s="74" t="s">
        <v>11</v>
      </c>
      <c r="E210" s="74" t="s">
        <v>35</v>
      </c>
      <c r="F210" s="77">
        <v>10.598422467680473</v>
      </c>
    </row>
    <row r="211">
      <c r="A211" s="76">
        <v>90.0</v>
      </c>
      <c r="B211" s="74" t="s">
        <v>219</v>
      </c>
      <c r="C211" s="74" t="s">
        <v>220</v>
      </c>
      <c r="D211" s="74" t="s">
        <v>30</v>
      </c>
      <c r="E211" s="74" t="s">
        <v>52</v>
      </c>
      <c r="F211" s="80">
        <v>56.408422467680474</v>
      </c>
    </row>
    <row r="212">
      <c r="A212" s="76">
        <v>45.0</v>
      </c>
      <c r="B212" s="74" t="s">
        <v>221</v>
      </c>
      <c r="C212" s="74" t="s">
        <v>222</v>
      </c>
      <c r="D212" s="74" t="s">
        <v>30</v>
      </c>
      <c r="E212" s="74" t="s">
        <v>68</v>
      </c>
      <c r="F212" s="77">
        <v>13.078422467680474</v>
      </c>
    </row>
    <row r="213">
      <c r="A213" s="76">
        <v>100.0</v>
      </c>
      <c r="B213" s="74" t="s">
        <v>48</v>
      </c>
      <c r="C213" s="74" t="s">
        <v>49</v>
      </c>
      <c r="D213" s="74" t="s">
        <v>11</v>
      </c>
      <c r="E213" s="74" t="s">
        <v>88</v>
      </c>
      <c r="F213" s="80">
        <v>38.81842246768048</v>
      </c>
    </row>
    <row r="214">
      <c r="A214" s="76">
        <v>6.0</v>
      </c>
      <c r="B214" s="74" t="s">
        <v>183</v>
      </c>
      <c r="C214" s="74" t="s">
        <v>184</v>
      </c>
      <c r="D214" s="74" t="s">
        <v>30</v>
      </c>
      <c r="E214" s="74" t="s">
        <v>43</v>
      </c>
      <c r="F214" s="77">
        <v>19.258422467680475</v>
      </c>
    </row>
    <row r="215">
      <c r="A215" s="76">
        <v>91.0</v>
      </c>
      <c r="B215" s="74" t="s">
        <v>112</v>
      </c>
      <c r="C215" s="74" t="s">
        <v>113</v>
      </c>
      <c r="D215" s="74" t="s">
        <v>11</v>
      </c>
      <c r="E215" s="74" t="s">
        <v>91</v>
      </c>
      <c r="F215" s="80">
        <v>0.8984224676804737</v>
      </c>
    </row>
    <row r="216">
      <c r="A216" s="76">
        <v>32.0</v>
      </c>
      <c r="B216" s="74" t="s">
        <v>146</v>
      </c>
      <c r="C216" s="74" t="s">
        <v>147</v>
      </c>
      <c r="D216" s="74" t="s">
        <v>11</v>
      </c>
      <c r="E216" s="74" t="s">
        <v>72</v>
      </c>
      <c r="F216" s="77">
        <v>14.988422467680474</v>
      </c>
    </row>
    <row r="217">
      <c r="A217" s="76">
        <v>77.0</v>
      </c>
      <c r="B217" s="74" t="s">
        <v>9</v>
      </c>
      <c r="C217" s="74" t="s">
        <v>169</v>
      </c>
      <c r="D217" s="74" t="s">
        <v>11</v>
      </c>
      <c r="E217" s="74" t="s">
        <v>85</v>
      </c>
      <c r="F217" s="80">
        <v>11.958422467680473</v>
      </c>
    </row>
    <row r="218">
      <c r="A218" s="76">
        <v>35.0</v>
      </c>
      <c r="B218" s="74" t="s">
        <v>125</v>
      </c>
      <c r="C218" s="74" t="s">
        <v>126</v>
      </c>
      <c r="D218" s="74" t="s">
        <v>30</v>
      </c>
      <c r="E218" s="74" t="s">
        <v>76</v>
      </c>
      <c r="F218" s="77">
        <v>11.028422467680473</v>
      </c>
    </row>
    <row r="219">
      <c r="A219" s="76">
        <v>91.0</v>
      </c>
      <c r="B219" s="74" t="s">
        <v>112</v>
      </c>
      <c r="C219" s="74" t="s">
        <v>113</v>
      </c>
      <c r="D219" s="74" t="s">
        <v>30</v>
      </c>
      <c r="E219" s="74" t="s">
        <v>91</v>
      </c>
      <c r="F219" s="80">
        <v>2.428422467680474</v>
      </c>
    </row>
    <row r="220">
      <c r="A220" s="76">
        <v>95.0</v>
      </c>
      <c r="B220" s="74" t="s">
        <v>110</v>
      </c>
      <c r="C220" s="74" t="s">
        <v>111</v>
      </c>
      <c r="D220" s="74" t="s">
        <v>30</v>
      </c>
      <c r="E220" s="74" t="s">
        <v>68</v>
      </c>
      <c r="F220" s="77">
        <v>8.618422467680473</v>
      </c>
    </row>
    <row r="221">
      <c r="A221" s="76">
        <v>84.0</v>
      </c>
      <c r="B221" s="74" t="s">
        <v>141</v>
      </c>
      <c r="C221" s="74" t="s">
        <v>142</v>
      </c>
      <c r="D221" s="74" t="s">
        <v>11</v>
      </c>
      <c r="E221" s="74" t="s">
        <v>94</v>
      </c>
      <c r="F221" s="80">
        <v>24.568422467680474</v>
      </c>
    </row>
    <row r="222">
      <c r="A222" s="76">
        <v>59.0</v>
      </c>
      <c r="B222" s="74" t="s">
        <v>103</v>
      </c>
      <c r="C222" s="74" t="s">
        <v>104</v>
      </c>
      <c r="D222" s="74" t="s">
        <v>11</v>
      </c>
      <c r="E222" s="74" t="s">
        <v>72</v>
      </c>
      <c r="F222" s="77">
        <v>24.208422467680474</v>
      </c>
    </row>
    <row r="223">
      <c r="A223" s="76">
        <v>33.0</v>
      </c>
      <c r="B223" s="74" t="s">
        <v>191</v>
      </c>
      <c r="C223" s="74" t="s">
        <v>192</v>
      </c>
      <c r="D223" s="74" t="s">
        <v>11</v>
      </c>
      <c r="E223" s="74" t="s">
        <v>39</v>
      </c>
      <c r="F223" s="80">
        <v>24.468422467680476</v>
      </c>
    </row>
    <row r="224">
      <c r="A224" s="76">
        <v>9.0</v>
      </c>
      <c r="B224" s="74" t="s">
        <v>207</v>
      </c>
      <c r="C224" s="74" t="s">
        <v>208</v>
      </c>
      <c r="D224" s="74" t="s">
        <v>11</v>
      </c>
      <c r="E224" s="74" t="s">
        <v>46</v>
      </c>
      <c r="F224" s="77">
        <v>12.658422467680474</v>
      </c>
    </row>
    <row r="225">
      <c r="A225" s="76">
        <v>27.0</v>
      </c>
      <c r="B225" s="74" t="s">
        <v>173</v>
      </c>
      <c r="C225" s="74" t="s">
        <v>174</v>
      </c>
      <c r="D225" s="74" t="s">
        <v>30</v>
      </c>
      <c r="E225" s="74" t="s">
        <v>88</v>
      </c>
      <c r="F225" s="80">
        <v>35.218422467680476</v>
      </c>
    </row>
    <row r="226">
      <c r="A226" s="76">
        <v>38.0</v>
      </c>
      <c r="B226" s="74" t="s">
        <v>116</v>
      </c>
      <c r="C226" s="74" t="s">
        <v>117</v>
      </c>
      <c r="D226" s="74" t="s">
        <v>11</v>
      </c>
      <c r="E226" s="74" t="s">
        <v>43</v>
      </c>
      <c r="F226" s="77">
        <v>13.718422467680472</v>
      </c>
    </row>
    <row r="227">
      <c r="A227" s="76">
        <v>73.0</v>
      </c>
      <c r="B227" s="74" t="s">
        <v>223</v>
      </c>
      <c r="C227" s="74" t="s">
        <v>224</v>
      </c>
      <c r="D227" s="74" t="s">
        <v>30</v>
      </c>
      <c r="E227" s="74" t="s">
        <v>46</v>
      </c>
      <c r="F227" s="80">
        <v>12.678422467680473</v>
      </c>
    </row>
    <row r="228">
      <c r="A228" s="76">
        <v>20.0</v>
      </c>
      <c r="B228" s="74" t="s">
        <v>161</v>
      </c>
      <c r="C228" s="74" t="s">
        <v>162</v>
      </c>
      <c r="D228" s="74" t="s">
        <v>11</v>
      </c>
      <c r="E228" s="74" t="s">
        <v>50</v>
      </c>
      <c r="F228" s="77">
        <v>23.638422467680474</v>
      </c>
    </row>
    <row r="229">
      <c r="A229" s="76">
        <v>47.0</v>
      </c>
      <c r="B229" s="74" t="s">
        <v>120</v>
      </c>
      <c r="C229" s="74" t="s">
        <v>121</v>
      </c>
      <c r="D229" s="74" t="s">
        <v>11</v>
      </c>
      <c r="E229" s="74" t="s">
        <v>12</v>
      </c>
      <c r="F229" s="80">
        <v>9.248422467680474</v>
      </c>
    </row>
    <row r="230">
      <c r="A230" s="76">
        <v>36.0</v>
      </c>
      <c r="B230" s="74" t="s">
        <v>92</v>
      </c>
      <c r="C230" s="74" t="s">
        <v>93</v>
      </c>
      <c r="D230" s="74" t="s">
        <v>11</v>
      </c>
      <c r="E230" s="74" t="s">
        <v>68</v>
      </c>
      <c r="F230" s="77">
        <v>14.458422467680473</v>
      </c>
    </row>
    <row r="231">
      <c r="A231" s="76">
        <v>43.0</v>
      </c>
      <c r="B231" s="74" t="s">
        <v>95</v>
      </c>
      <c r="C231" s="74" t="s">
        <v>96</v>
      </c>
      <c r="D231" s="74" t="s">
        <v>30</v>
      </c>
      <c r="E231" s="74" t="s">
        <v>85</v>
      </c>
      <c r="F231" s="80">
        <v>13.418422467680474</v>
      </c>
    </row>
    <row r="232">
      <c r="A232" s="76">
        <v>3.0</v>
      </c>
      <c r="B232" s="74" t="s">
        <v>80</v>
      </c>
      <c r="C232" s="74" t="s">
        <v>81</v>
      </c>
      <c r="D232" s="74" t="s">
        <v>11</v>
      </c>
      <c r="E232" s="74" t="s">
        <v>68</v>
      </c>
      <c r="F232" s="77">
        <v>18.098422467680475</v>
      </c>
    </row>
    <row r="233">
      <c r="A233" s="76">
        <v>63.0</v>
      </c>
      <c r="B233" s="74" t="s">
        <v>225</v>
      </c>
      <c r="C233" s="74" t="s">
        <v>226</v>
      </c>
      <c r="D233" s="74" t="s">
        <v>30</v>
      </c>
      <c r="E233" s="74" t="s">
        <v>50</v>
      </c>
      <c r="F233" s="80">
        <v>32.92842246768048</v>
      </c>
    </row>
    <row r="234">
      <c r="A234" s="76">
        <v>2.0</v>
      </c>
      <c r="B234" s="74" t="s">
        <v>83</v>
      </c>
      <c r="C234" s="74" t="s">
        <v>84</v>
      </c>
      <c r="D234" s="74" t="s">
        <v>30</v>
      </c>
      <c r="E234" s="74" t="s">
        <v>50</v>
      </c>
      <c r="F234" s="77">
        <v>32.01842246768047</v>
      </c>
    </row>
    <row r="235">
      <c r="A235" s="76">
        <v>99.0</v>
      </c>
      <c r="B235" s="74" t="s">
        <v>73</v>
      </c>
      <c r="C235" s="74" t="s">
        <v>74</v>
      </c>
      <c r="D235" s="74" t="s">
        <v>30</v>
      </c>
      <c r="E235" s="74" t="s">
        <v>76</v>
      </c>
      <c r="F235" s="80">
        <v>11.448422467680473</v>
      </c>
    </row>
    <row r="236">
      <c r="A236" s="76">
        <v>67.0</v>
      </c>
      <c r="B236" s="74" t="s">
        <v>204</v>
      </c>
      <c r="C236" s="74" t="s">
        <v>205</v>
      </c>
      <c r="D236" s="74" t="s">
        <v>30</v>
      </c>
      <c r="E236" s="74" t="s">
        <v>88</v>
      </c>
      <c r="F236" s="77">
        <v>39.648422467680476</v>
      </c>
    </row>
    <row r="237">
      <c r="A237" s="76">
        <v>98.0</v>
      </c>
      <c r="B237" s="74" t="s">
        <v>159</v>
      </c>
      <c r="C237" s="74" t="s">
        <v>196</v>
      </c>
      <c r="D237" s="74" t="s">
        <v>30</v>
      </c>
      <c r="E237" s="74" t="s">
        <v>60</v>
      </c>
      <c r="F237" s="80">
        <v>39.63842246768048</v>
      </c>
    </row>
    <row r="238">
      <c r="A238" s="76">
        <v>57.0</v>
      </c>
      <c r="B238" s="74" t="s">
        <v>92</v>
      </c>
      <c r="C238" s="74" t="s">
        <v>190</v>
      </c>
      <c r="D238" s="74" t="s">
        <v>30</v>
      </c>
      <c r="E238" s="74" t="s">
        <v>46</v>
      </c>
      <c r="F238" s="77">
        <v>13.808422467680472</v>
      </c>
    </row>
    <row r="239">
      <c r="A239" s="76">
        <v>61.0</v>
      </c>
      <c r="B239" s="74" t="s">
        <v>106</v>
      </c>
      <c r="C239" s="74" t="s">
        <v>107</v>
      </c>
      <c r="D239" s="74" t="s">
        <v>30</v>
      </c>
      <c r="E239" s="74" t="s">
        <v>60</v>
      </c>
      <c r="F239" s="80">
        <v>52.20842246768048</v>
      </c>
    </row>
    <row r="240">
      <c r="A240" s="76">
        <v>57.0</v>
      </c>
      <c r="B240" s="74" t="s">
        <v>92</v>
      </c>
      <c r="C240" s="74" t="s">
        <v>190</v>
      </c>
      <c r="D240" s="74" t="s">
        <v>11</v>
      </c>
      <c r="E240" s="74" t="s">
        <v>97</v>
      </c>
      <c r="F240" s="77">
        <v>3.3784224676804744</v>
      </c>
    </row>
    <row r="241">
      <c r="A241" s="76">
        <v>11.0</v>
      </c>
      <c r="B241" s="74" t="s">
        <v>227</v>
      </c>
      <c r="C241" s="74" t="s">
        <v>228</v>
      </c>
      <c r="D241" s="74" t="s">
        <v>11</v>
      </c>
      <c r="E241" s="74" t="s">
        <v>79</v>
      </c>
      <c r="F241" s="80">
        <v>37.02842246768048</v>
      </c>
    </row>
    <row r="242">
      <c r="A242" s="76">
        <v>72.0</v>
      </c>
      <c r="B242" s="74" t="s">
        <v>133</v>
      </c>
      <c r="C242" s="74" t="s">
        <v>134</v>
      </c>
      <c r="D242" s="74" t="s">
        <v>30</v>
      </c>
      <c r="E242" s="74" t="s">
        <v>97</v>
      </c>
      <c r="F242" s="77">
        <v>2.7984224676804734</v>
      </c>
    </row>
    <row r="243">
      <c r="A243" s="76">
        <v>24.0</v>
      </c>
      <c r="B243" s="74" t="s">
        <v>139</v>
      </c>
      <c r="C243" s="74" t="s">
        <v>140</v>
      </c>
      <c r="D243" s="74" t="s">
        <v>30</v>
      </c>
      <c r="E243" s="74" t="s">
        <v>94</v>
      </c>
      <c r="F243" s="80">
        <v>26.798422467680474</v>
      </c>
    </row>
    <row r="244">
      <c r="A244" s="76">
        <v>38.0</v>
      </c>
      <c r="B244" s="74" t="s">
        <v>116</v>
      </c>
      <c r="C244" s="74" t="s">
        <v>117</v>
      </c>
      <c r="D244" s="74" t="s">
        <v>11</v>
      </c>
      <c r="E244" s="74" t="s">
        <v>31</v>
      </c>
      <c r="F244" s="77">
        <v>45.41842246768047</v>
      </c>
    </row>
    <row r="245">
      <c r="A245" s="76">
        <v>17.0</v>
      </c>
      <c r="B245" s="74" t="s">
        <v>200</v>
      </c>
      <c r="C245" s="74" t="s">
        <v>201</v>
      </c>
      <c r="D245" s="74" t="s">
        <v>30</v>
      </c>
      <c r="E245" s="74" t="s">
        <v>56</v>
      </c>
      <c r="F245" s="80">
        <v>75.09842246768046</v>
      </c>
    </row>
    <row r="246">
      <c r="A246" s="76">
        <v>61.0</v>
      </c>
      <c r="B246" s="74" t="s">
        <v>106</v>
      </c>
      <c r="C246" s="74" t="s">
        <v>107</v>
      </c>
      <c r="D246" s="74" t="s">
        <v>30</v>
      </c>
      <c r="E246" s="74" t="s">
        <v>12</v>
      </c>
      <c r="F246" s="77">
        <v>9.178422467680473</v>
      </c>
    </row>
    <row r="247">
      <c r="A247" s="76">
        <v>20.0</v>
      </c>
      <c r="B247" s="74" t="s">
        <v>161</v>
      </c>
      <c r="C247" s="74" t="s">
        <v>162</v>
      </c>
      <c r="D247" s="74" t="s">
        <v>11</v>
      </c>
      <c r="E247" s="74" t="s">
        <v>12</v>
      </c>
      <c r="F247" s="80">
        <v>9.648422467680474</v>
      </c>
    </row>
    <row r="248">
      <c r="A248" s="76">
        <v>66.0</v>
      </c>
      <c r="B248" s="74" t="s">
        <v>150</v>
      </c>
      <c r="C248" s="74" t="s">
        <v>158</v>
      </c>
      <c r="D248" s="74" t="s">
        <v>11</v>
      </c>
      <c r="E248" s="74" t="s">
        <v>43</v>
      </c>
      <c r="F248" s="77">
        <v>12.718422467680472</v>
      </c>
    </row>
    <row r="249">
      <c r="A249" s="76">
        <v>63.0</v>
      </c>
      <c r="B249" s="74" t="s">
        <v>225</v>
      </c>
      <c r="C249" s="74" t="s">
        <v>226</v>
      </c>
      <c r="D249" s="74" t="s">
        <v>11</v>
      </c>
      <c r="E249" s="74" t="s">
        <v>46</v>
      </c>
      <c r="F249" s="80">
        <v>12.658422467680474</v>
      </c>
    </row>
    <row r="250">
      <c r="A250" s="76">
        <v>31.0</v>
      </c>
      <c r="B250" s="74" t="s">
        <v>229</v>
      </c>
      <c r="C250" s="74" t="s">
        <v>230</v>
      </c>
      <c r="D250" s="74" t="s">
        <v>11</v>
      </c>
      <c r="E250" s="74" t="s">
        <v>46</v>
      </c>
      <c r="F250" s="77">
        <v>13.688422467680473</v>
      </c>
    </row>
    <row r="251">
      <c r="A251" s="76">
        <v>2.0</v>
      </c>
      <c r="B251" s="74" t="s">
        <v>83</v>
      </c>
      <c r="C251" s="74" t="s">
        <v>84</v>
      </c>
      <c r="D251" s="74" t="s">
        <v>11</v>
      </c>
      <c r="E251" s="74" t="s">
        <v>79</v>
      </c>
      <c r="F251" s="80">
        <v>34.94842246768047</v>
      </c>
    </row>
    <row r="252">
      <c r="A252" s="76">
        <v>42.0</v>
      </c>
      <c r="B252" s="74" t="s">
        <v>92</v>
      </c>
      <c r="C252" s="74" t="s">
        <v>170</v>
      </c>
      <c r="D252" s="74" t="s">
        <v>30</v>
      </c>
      <c r="E252" s="74" t="s">
        <v>43</v>
      </c>
      <c r="F252" s="77">
        <v>18.228422467680474</v>
      </c>
    </row>
    <row r="253">
      <c r="A253" s="76">
        <v>30.0</v>
      </c>
      <c r="B253" s="74" t="s">
        <v>9</v>
      </c>
      <c r="C253" s="74" t="s">
        <v>10</v>
      </c>
      <c r="D253" s="74" t="s">
        <v>11</v>
      </c>
      <c r="E253" s="74" t="s">
        <v>91</v>
      </c>
      <c r="F253" s="80">
        <v>0.6384224676804737</v>
      </c>
    </row>
    <row r="254">
      <c r="A254" s="76">
        <v>32.0</v>
      </c>
      <c r="B254" s="74" t="s">
        <v>146</v>
      </c>
      <c r="C254" s="74" t="s">
        <v>147</v>
      </c>
      <c r="D254" s="74" t="s">
        <v>11</v>
      </c>
      <c r="E254" s="74" t="s">
        <v>94</v>
      </c>
      <c r="F254" s="77">
        <v>29.078422467680475</v>
      </c>
    </row>
    <row r="255">
      <c r="A255" s="76">
        <v>84.0</v>
      </c>
      <c r="B255" s="74" t="s">
        <v>141</v>
      </c>
      <c r="C255" s="74" t="s">
        <v>142</v>
      </c>
      <c r="D255" s="74" t="s">
        <v>11</v>
      </c>
      <c r="E255" s="74" t="s">
        <v>60</v>
      </c>
      <c r="F255" s="80">
        <v>45.35842246768048</v>
      </c>
    </row>
    <row r="256">
      <c r="A256" s="76">
        <v>48.0</v>
      </c>
      <c r="B256" s="74" t="s">
        <v>41</v>
      </c>
      <c r="C256" s="74" t="s">
        <v>45</v>
      </c>
      <c r="D256" s="74" t="s">
        <v>30</v>
      </c>
      <c r="E256" s="74" t="s">
        <v>43</v>
      </c>
      <c r="F256" s="77">
        <v>16.608422467680477</v>
      </c>
    </row>
    <row r="257">
      <c r="A257" s="76">
        <v>82.0</v>
      </c>
      <c r="B257" s="74" t="s">
        <v>231</v>
      </c>
      <c r="C257" s="74" t="s">
        <v>232</v>
      </c>
      <c r="D257" s="74" t="s">
        <v>11</v>
      </c>
      <c r="E257" s="74" t="s">
        <v>91</v>
      </c>
      <c r="F257" s="80">
        <v>0.4784224676804738</v>
      </c>
    </row>
    <row r="258">
      <c r="A258" s="76">
        <v>67.0</v>
      </c>
      <c r="B258" s="74" t="s">
        <v>204</v>
      </c>
      <c r="C258" s="74" t="s">
        <v>205</v>
      </c>
      <c r="D258" s="74" t="s">
        <v>11</v>
      </c>
      <c r="E258" s="74" t="s">
        <v>39</v>
      </c>
      <c r="F258" s="77">
        <v>18.168422467680475</v>
      </c>
    </row>
    <row r="259">
      <c r="A259" s="76">
        <v>49.0</v>
      </c>
      <c r="B259" s="74" t="s">
        <v>179</v>
      </c>
      <c r="C259" s="74" t="s">
        <v>180</v>
      </c>
      <c r="D259" s="74" t="s">
        <v>11</v>
      </c>
      <c r="E259" s="74" t="s">
        <v>50</v>
      </c>
      <c r="F259" s="80">
        <v>33.478422467680474</v>
      </c>
    </row>
    <row r="260">
      <c r="A260" s="76">
        <v>74.0</v>
      </c>
      <c r="B260" s="74" t="s">
        <v>9</v>
      </c>
      <c r="C260" s="74" t="s">
        <v>124</v>
      </c>
      <c r="D260" s="74" t="s">
        <v>30</v>
      </c>
      <c r="E260" s="74" t="s">
        <v>56</v>
      </c>
      <c r="F260" s="77">
        <v>65.98842246768046</v>
      </c>
    </row>
    <row r="261">
      <c r="A261" s="76">
        <v>34.0</v>
      </c>
      <c r="B261" s="74" t="s">
        <v>177</v>
      </c>
      <c r="C261" s="74" t="s">
        <v>178</v>
      </c>
      <c r="D261" s="74" t="s">
        <v>11</v>
      </c>
      <c r="E261" s="74" t="s">
        <v>39</v>
      </c>
      <c r="F261" s="80">
        <v>34.968422467680476</v>
      </c>
    </row>
    <row r="262">
      <c r="A262" s="76">
        <v>3.0</v>
      </c>
      <c r="B262" s="74" t="s">
        <v>80</v>
      </c>
      <c r="C262" s="74" t="s">
        <v>81</v>
      </c>
      <c r="D262" s="74" t="s">
        <v>11</v>
      </c>
      <c r="E262" s="74" t="s">
        <v>88</v>
      </c>
      <c r="F262" s="77">
        <v>38.59842246768047</v>
      </c>
    </row>
    <row r="263">
      <c r="A263" s="76">
        <v>58.0</v>
      </c>
      <c r="B263" s="74" t="s">
        <v>165</v>
      </c>
      <c r="C263" s="74" t="s">
        <v>166</v>
      </c>
      <c r="D263" s="74" t="s">
        <v>11</v>
      </c>
      <c r="E263" s="74" t="s">
        <v>82</v>
      </c>
      <c r="F263" s="80">
        <v>11.938422467680473</v>
      </c>
    </row>
    <row r="264">
      <c r="A264" s="76">
        <v>77.0</v>
      </c>
      <c r="B264" s="74" t="s">
        <v>9</v>
      </c>
      <c r="C264" s="74" t="s">
        <v>169</v>
      </c>
      <c r="D264" s="74" t="s">
        <v>11</v>
      </c>
      <c r="E264" s="74" t="s">
        <v>31</v>
      </c>
      <c r="F264" s="77">
        <v>55.37842246768047</v>
      </c>
    </row>
    <row r="265">
      <c r="A265" s="76">
        <v>31.0</v>
      </c>
      <c r="B265" s="74" t="s">
        <v>229</v>
      </c>
      <c r="C265" s="74" t="s">
        <v>230</v>
      </c>
      <c r="D265" s="74" t="s">
        <v>30</v>
      </c>
      <c r="E265" s="74" t="s">
        <v>43</v>
      </c>
      <c r="F265" s="80">
        <v>16.278422467680475</v>
      </c>
    </row>
    <row r="266">
      <c r="A266" s="76">
        <v>17.0</v>
      </c>
      <c r="B266" s="74" t="s">
        <v>200</v>
      </c>
      <c r="C266" s="74" t="s">
        <v>201</v>
      </c>
      <c r="D266" s="74" t="s">
        <v>30</v>
      </c>
      <c r="E266" s="74" t="s">
        <v>68</v>
      </c>
      <c r="F266" s="77">
        <v>8.138422467680472</v>
      </c>
    </row>
    <row r="267">
      <c r="A267" s="76">
        <v>24.0</v>
      </c>
      <c r="B267" s="74" t="s">
        <v>139</v>
      </c>
      <c r="C267" s="74" t="s">
        <v>140</v>
      </c>
      <c r="D267" s="74" t="s">
        <v>11</v>
      </c>
      <c r="E267" s="74" t="s">
        <v>85</v>
      </c>
      <c r="F267" s="80">
        <v>15.668422467680474</v>
      </c>
    </row>
    <row r="268">
      <c r="A268" s="76">
        <v>45.0</v>
      </c>
      <c r="B268" s="74" t="s">
        <v>221</v>
      </c>
      <c r="C268" s="74" t="s">
        <v>222</v>
      </c>
      <c r="D268" s="74" t="s">
        <v>30</v>
      </c>
      <c r="E268" s="74" t="s">
        <v>39</v>
      </c>
      <c r="F268" s="77">
        <v>28.988422467680476</v>
      </c>
    </row>
    <row r="269">
      <c r="A269" s="76">
        <v>39.0</v>
      </c>
      <c r="B269" s="74" t="s">
        <v>89</v>
      </c>
      <c r="C269" s="74" t="s">
        <v>90</v>
      </c>
      <c r="D269" s="74" t="s">
        <v>30</v>
      </c>
      <c r="E269" s="74" t="s">
        <v>76</v>
      </c>
      <c r="F269" s="80">
        <v>10.188422467680473</v>
      </c>
    </row>
    <row r="270">
      <c r="A270" s="76">
        <v>51.0</v>
      </c>
      <c r="B270" s="74" t="s">
        <v>233</v>
      </c>
      <c r="C270" s="74" t="s">
        <v>234</v>
      </c>
      <c r="D270" s="74" t="s">
        <v>11</v>
      </c>
      <c r="E270" s="74" t="s">
        <v>85</v>
      </c>
      <c r="F270" s="77">
        <v>11.378422467680473</v>
      </c>
    </row>
    <row r="271">
      <c r="A271" s="76">
        <v>46.0</v>
      </c>
      <c r="B271" s="74" t="s">
        <v>143</v>
      </c>
      <c r="C271" s="74" t="s">
        <v>144</v>
      </c>
      <c r="D271" s="74" t="s">
        <v>30</v>
      </c>
      <c r="E271" s="74" t="s">
        <v>76</v>
      </c>
      <c r="F271" s="80">
        <v>11.608422467680473</v>
      </c>
    </row>
    <row r="272">
      <c r="A272" s="76">
        <v>48.0</v>
      </c>
      <c r="B272" s="74" t="s">
        <v>41</v>
      </c>
      <c r="C272" s="74" t="s">
        <v>45</v>
      </c>
      <c r="D272" s="74" t="s">
        <v>11</v>
      </c>
      <c r="E272" s="74" t="s">
        <v>46</v>
      </c>
      <c r="F272" s="77">
        <v>11.148422467680474</v>
      </c>
    </row>
    <row r="273">
      <c r="A273" s="76">
        <v>38.0</v>
      </c>
      <c r="B273" s="74" t="s">
        <v>116</v>
      </c>
      <c r="C273" s="74" t="s">
        <v>117</v>
      </c>
      <c r="D273" s="74" t="s">
        <v>11</v>
      </c>
      <c r="E273" s="74" t="s">
        <v>97</v>
      </c>
      <c r="F273" s="80">
        <v>4.158422467680474</v>
      </c>
    </row>
    <row r="274">
      <c r="A274" s="76">
        <v>44.0</v>
      </c>
      <c r="B274" s="74" t="s">
        <v>215</v>
      </c>
      <c r="C274" s="74" t="s">
        <v>216</v>
      </c>
      <c r="D274" s="74" t="s">
        <v>11</v>
      </c>
      <c r="E274" s="74" t="s">
        <v>94</v>
      </c>
      <c r="F274" s="77">
        <v>28.028422467680475</v>
      </c>
    </row>
    <row r="275">
      <c r="A275" s="76">
        <v>73.0</v>
      </c>
      <c r="B275" s="74" t="s">
        <v>223</v>
      </c>
      <c r="C275" s="74" t="s">
        <v>224</v>
      </c>
      <c r="D275" s="74" t="s">
        <v>11</v>
      </c>
      <c r="E275" s="74" t="s">
        <v>91</v>
      </c>
      <c r="F275" s="80">
        <v>1.3384224676804737</v>
      </c>
    </row>
    <row r="276">
      <c r="A276" s="76">
        <v>7.0</v>
      </c>
      <c r="B276" s="74" t="s">
        <v>114</v>
      </c>
      <c r="C276" s="74" t="s">
        <v>115</v>
      </c>
      <c r="D276" s="74" t="s">
        <v>11</v>
      </c>
      <c r="E276" s="74" t="s">
        <v>56</v>
      </c>
      <c r="F276" s="77">
        <v>74.64842246768046</v>
      </c>
    </row>
    <row r="277">
      <c r="A277" s="76">
        <v>14.0</v>
      </c>
      <c r="B277" s="74" t="s">
        <v>171</v>
      </c>
      <c r="C277" s="74" t="s">
        <v>172</v>
      </c>
      <c r="D277" s="74" t="s">
        <v>11</v>
      </c>
      <c r="E277" s="74" t="s">
        <v>12</v>
      </c>
      <c r="F277" s="80">
        <v>9.718422467680472</v>
      </c>
    </row>
    <row r="278">
      <c r="A278" s="76">
        <v>80.0</v>
      </c>
      <c r="B278" s="74" t="s">
        <v>37</v>
      </c>
      <c r="C278" s="74" t="s">
        <v>38</v>
      </c>
      <c r="D278" s="74" t="s">
        <v>30</v>
      </c>
      <c r="E278" s="74" t="s">
        <v>46</v>
      </c>
      <c r="F278" s="77">
        <v>11.028422467680473</v>
      </c>
    </row>
    <row r="279">
      <c r="A279" s="76">
        <v>32.0</v>
      </c>
      <c r="B279" s="74" t="s">
        <v>146</v>
      </c>
      <c r="C279" s="74" t="s">
        <v>147</v>
      </c>
      <c r="D279" s="74" t="s">
        <v>30</v>
      </c>
      <c r="E279" s="74" t="s">
        <v>39</v>
      </c>
      <c r="F279" s="80">
        <v>24.428422467680473</v>
      </c>
    </row>
    <row r="280">
      <c r="A280" s="76">
        <v>9.0</v>
      </c>
      <c r="B280" s="74" t="s">
        <v>207</v>
      </c>
      <c r="C280" s="74" t="s">
        <v>208</v>
      </c>
      <c r="D280" s="74" t="s">
        <v>11</v>
      </c>
      <c r="E280" s="74" t="s">
        <v>76</v>
      </c>
      <c r="F280" s="77">
        <v>11.238422467680474</v>
      </c>
    </row>
    <row r="281">
      <c r="A281" s="76">
        <v>27.0</v>
      </c>
      <c r="B281" s="74" t="s">
        <v>173</v>
      </c>
      <c r="C281" s="74" t="s">
        <v>174</v>
      </c>
      <c r="D281" s="74" t="s">
        <v>11</v>
      </c>
      <c r="E281" s="74" t="s">
        <v>85</v>
      </c>
      <c r="F281" s="80">
        <v>14.188422467680473</v>
      </c>
    </row>
    <row r="282">
      <c r="A282" s="76">
        <v>54.0</v>
      </c>
      <c r="B282" s="74" t="s">
        <v>86</v>
      </c>
      <c r="C282" s="74" t="s">
        <v>87</v>
      </c>
      <c r="D282" s="74" t="s">
        <v>11</v>
      </c>
      <c r="E282" s="74" t="s">
        <v>52</v>
      </c>
      <c r="F282" s="77">
        <v>67.94842246768047</v>
      </c>
    </row>
    <row r="283">
      <c r="A283" s="76">
        <v>23.0</v>
      </c>
      <c r="B283" s="74" t="s">
        <v>235</v>
      </c>
      <c r="C283" s="74" t="s">
        <v>236</v>
      </c>
      <c r="D283" s="74" t="s">
        <v>11</v>
      </c>
      <c r="E283" s="74" t="s">
        <v>50</v>
      </c>
      <c r="F283" s="80">
        <v>29.088422467680473</v>
      </c>
    </row>
    <row r="284">
      <c r="A284" s="76">
        <v>31.0</v>
      </c>
      <c r="B284" s="74" t="s">
        <v>229</v>
      </c>
      <c r="C284" s="74" t="s">
        <v>230</v>
      </c>
      <c r="D284" s="74" t="s">
        <v>30</v>
      </c>
      <c r="E284" s="74" t="s">
        <v>91</v>
      </c>
      <c r="F284" s="77">
        <v>2.308422467680474</v>
      </c>
    </row>
    <row r="285">
      <c r="A285" s="76">
        <v>10.0</v>
      </c>
      <c r="B285" s="74" t="s">
        <v>148</v>
      </c>
      <c r="C285" s="74" t="s">
        <v>149</v>
      </c>
      <c r="D285" s="74" t="s">
        <v>11</v>
      </c>
      <c r="E285" s="74" t="s">
        <v>91</v>
      </c>
      <c r="F285" s="80">
        <v>1.1884224676804738</v>
      </c>
    </row>
    <row r="286">
      <c r="A286" s="76">
        <v>59.0</v>
      </c>
      <c r="B286" s="74" t="s">
        <v>103</v>
      </c>
      <c r="C286" s="74" t="s">
        <v>104</v>
      </c>
      <c r="D286" s="74" t="s">
        <v>30</v>
      </c>
      <c r="E286" s="74" t="s">
        <v>97</v>
      </c>
      <c r="F286" s="77">
        <v>2.388422467680474</v>
      </c>
    </row>
    <row r="287">
      <c r="A287" s="76">
        <v>10.0</v>
      </c>
      <c r="B287" s="74" t="s">
        <v>148</v>
      </c>
      <c r="C287" s="74" t="s">
        <v>149</v>
      </c>
      <c r="D287" s="74" t="s">
        <v>30</v>
      </c>
      <c r="E287" s="74" t="s">
        <v>46</v>
      </c>
      <c r="F287" s="80">
        <v>11.308422467680472</v>
      </c>
    </row>
    <row r="288">
      <c r="A288" s="76">
        <v>78.0</v>
      </c>
      <c r="B288" s="74" t="s">
        <v>28</v>
      </c>
      <c r="C288" s="74" t="s">
        <v>29</v>
      </c>
      <c r="D288" s="74" t="s">
        <v>11</v>
      </c>
      <c r="E288" s="74" t="s">
        <v>50</v>
      </c>
      <c r="F288" s="77">
        <v>33.41842246768047</v>
      </c>
    </row>
    <row r="289">
      <c r="A289" s="76">
        <v>26.0</v>
      </c>
      <c r="B289" s="74" t="s">
        <v>211</v>
      </c>
      <c r="C289" s="74" t="s">
        <v>212</v>
      </c>
      <c r="D289" s="74" t="s">
        <v>11</v>
      </c>
      <c r="E289" s="74" t="s">
        <v>31</v>
      </c>
      <c r="F289" s="80">
        <v>35.408422467680474</v>
      </c>
    </row>
    <row r="290">
      <c r="A290" s="76">
        <v>94.0</v>
      </c>
      <c r="B290" s="74" t="s">
        <v>207</v>
      </c>
      <c r="C290" s="74" t="s">
        <v>237</v>
      </c>
      <c r="D290" s="74" t="s">
        <v>11</v>
      </c>
      <c r="E290" s="74" t="s">
        <v>79</v>
      </c>
      <c r="F290" s="77">
        <v>25.798422467680474</v>
      </c>
    </row>
    <row r="291">
      <c r="A291" s="76">
        <v>45.0</v>
      </c>
      <c r="B291" s="74" t="s">
        <v>221</v>
      </c>
      <c r="C291" s="74" t="s">
        <v>222</v>
      </c>
      <c r="D291" s="74" t="s">
        <v>11</v>
      </c>
      <c r="E291" s="74" t="s">
        <v>72</v>
      </c>
      <c r="F291" s="80">
        <v>13.258422467680473</v>
      </c>
    </row>
    <row r="292">
      <c r="A292" s="76">
        <v>2.0</v>
      </c>
      <c r="B292" s="74" t="s">
        <v>83</v>
      </c>
      <c r="C292" s="74" t="s">
        <v>84</v>
      </c>
      <c r="D292" s="74" t="s">
        <v>11</v>
      </c>
      <c r="E292" s="74" t="s">
        <v>12</v>
      </c>
      <c r="F292" s="77">
        <v>9.808422467680472</v>
      </c>
    </row>
    <row r="293">
      <c r="A293" s="76">
        <v>65.0</v>
      </c>
      <c r="B293" s="74" t="s">
        <v>209</v>
      </c>
      <c r="C293" s="74" t="s">
        <v>210</v>
      </c>
      <c r="D293" s="74" t="s">
        <v>30</v>
      </c>
      <c r="E293" s="74" t="s">
        <v>39</v>
      </c>
      <c r="F293" s="80">
        <v>34.508422467680475</v>
      </c>
    </row>
    <row r="294">
      <c r="A294" s="76">
        <v>28.0</v>
      </c>
      <c r="B294" s="74" t="s">
        <v>77</v>
      </c>
      <c r="C294" s="74" t="s">
        <v>78</v>
      </c>
      <c r="D294" s="74" t="s">
        <v>11</v>
      </c>
      <c r="E294" s="74" t="s">
        <v>91</v>
      </c>
      <c r="F294" s="77">
        <v>0.9784224676804738</v>
      </c>
    </row>
    <row r="295">
      <c r="A295" s="76">
        <v>85.0</v>
      </c>
      <c r="B295" s="74" t="s">
        <v>198</v>
      </c>
      <c r="C295" s="74" t="s">
        <v>199</v>
      </c>
      <c r="D295" s="74" t="s">
        <v>11</v>
      </c>
      <c r="E295" s="74" t="s">
        <v>76</v>
      </c>
      <c r="F295" s="80">
        <v>10.648422467680474</v>
      </c>
    </row>
    <row r="296">
      <c r="A296" s="76">
        <v>72.0</v>
      </c>
      <c r="B296" s="74" t="s">
        <v>133</v>
      </c>
      <c r="C296" s="74" t="s">
        <v>134</v>
      </c>
      <c r="D296" s="74" t="s">
        <v>11</v>
      </c>
      <c r="E296" s="74" t="s">
        <v>79</v>
      </c>
      <c r="F296" s="77">
        <v>32.09842246768047</v>
      </c>
    </row>
    <row r="297">
      <c r="A297" s="76">
        <v>75.0</v>
      </c>
      <c r="B297" s="74" t="s">
        <v>238</v>
      </c>
      <c r="C297" s="74" t="s">
        <v>239</v>
      </c>
      <c r="D297" s="74" t="s">
        <v>11</v>
      </c>
      <c r="E297" s="74" t="s">
        <v>31</v>
      </c>
      <c r="F297" s="80">
        <v>47.398422467680476</v>
      </c>
    </row>
    <row r="298">
      <c r="A298" s="76">
        <v>35.0</v>
      </c>
      <c r="B298" s="74" t="s">
        <v>125</v>
      </c>
      <c r="C298" s="74" t="s">
        <v>126</v>
      </c>
      <c r="D298" s="74" t="s">
        <v>11</v>
      </c>
      <c r="E298" s="74" t="s">
        <v>97</v>
      </c>
      <c r="F298" s="77">
        <v>3.5784224676804737</v>
      </c>
    </row>
    <row r="299">
      <c r="A299" s="76">
        <v>6.0</v>
      </c>
      <c r="B299" s="74" t="s">
        <v>183</v>
      </c>
      <c r="C299" s="74" t="s">
        <v>184</v>
      </c>
      <c r="D299" s="74" t="s">
        <v>11</v>
      </c>
      <c r="E299" s="74" t="s">
        <v>50</v>
      </c>
      <c r="F299" s="80">
        <v>23.678422467680473</v>
      </c>
    </row>
    <row r="300">
      <c r="A300" s="76">
        <v>10.0</v>
      </c>
      <c r="B300" s="74" t="s">
        <v>148</v>
      </c>
      <c r="C300" s="74" t="s">
        <v>149</v>
      </c>
      <c r="D300" s="74" t="s">
        <v>30</v>
      </c>
      <c r="E300" s="74" t="s">
        <v>94</v>
      </c>
      <c r="F300" s="77">
        <v>25.258422467680475</v>
      </c>
    </row>
    <row r="301">
      <c r="A301" s="76">
        <v>47.0</v>
      </c>
      <c r="B301" s="74" t="s">
        <v>120</v>
      </c>
      <c r="C301" s="74" t="s">
        <v>121</v>
      </c>
      <c r="D301" s="74" t="s">
        <v>30</v>
      </c>
      <c r="E301" s="74" t="s">
        <v>39</v>
      </c>
      <c r="F301" s="80">
        <v>20.068422467680474</v>
      </c>
    </row>
    <row r="302">
      <c r="A302" s="76">
        <v>23.0</v>
      </c>
      <c r="B302" s="74" t="s">
        <v>235</v>
      </c>
      <c r="C302" s="74" t="s">
        <v>236</v>
      </c>
      <c r="D302" s="74" t="s">
        <v>30</v>
      </c>
      <c r="E302" s="74" t="s">
        <v>94</v>
      </c>
      <c r="F302" s="77">
        <v>30.338422467680473</v>
      </c>
    </row>
    <row r="303">
      <c r="A303" s="76">
        <v>90.0</v>
      </c>
      <c r="B303" s="74" t="s">
        <v>219</v>
      </c>
      <c r="C303" s="74" t="s">
        <v>220</v>
      </c>
      <c r="D303" s="74" t="s">
        <v>11</v>
      </c>
      <c r="E303" s="74" t="s">
        <v>85</v>
      </c>
      <c r="F303" s="80">
        <v>15.418422467680474</v>
      </c>
    </row>
    <row r="304">
      <c r="A304" s="76">
        <v>8.0</v>
      </c>
      <c r="B304" s="74" t="s">
        <v>108</v>
      </c>
      <c r="C304" s="74" t="s">
        <v>109</v>
      </c>
      <c r="D304" s="74" t="s">
        <v>30</v>
      </c>
      <c r="E304" s="74" t="s">
        <v>50</v>
      </c>
      <c r="F304" s="77">
        <v>25.158422467680474</v>
      </c>
    </row>
    <row r="305">
      <c r="A305" s="76">
        <v>94.0</v>
      </c>
      <c r="B305" s="74" t="s">
        <v>207</v>
      </c>
      <c r="C305" s="74" t="s">
        <v>237</v>
      </c>
      <c r="D305" s="74" t="s">
        <v>30</v>
      </c>
      <c r="E305" s="74" t="s">
        <v>79</v>
      </c>
      <c r="F305" s="80">
        <v>26.358422467680477</v>
      </c>
    </row>
    <row r="306">
      <c r="A306" s="76">
        <v>18.0</v>
      </c>
      <c r="B306" s="74" t="s">
        <v>163</v>
      </c>
      <c r="C306" s="74" t="s">
        <v>240</v>
      </c>
      <c r="D306" s="74" t="s">
        <v>30</v>
      </c>
      <c r="E306" s="74" t="s">
        <v>79</v>
      </c>
      <c r="F306" s="77">
        <v>36.10842246768048</v>
      </c>
    </row>
    <row r="307">
      <c r="A307" s="76">
        <v>91.0</v>
      </c>
      <c r="B307" s="74" t="s">
        <v>112</v>
      </c>
      <c r="C307" s="74" t="s">
        <v>113</v>
      </c>
      <c r="D307" s="74" t="s">
        <v>11</v>
      </c>
      <c r="E307" s="74" t="s">
        <v>46</v>
      </c>
      <c r="F307" s="80">
        <v>11.298422467680473</v>
      </c>
    </row>
    <row r="308">
      <c r="A308" s="76">
        <v>3.0</v>
      </c>
      <c r="B308" s="74" t="s">
        <v>80</v>
      </c>
      <c r="C308" s="74" t="s">
        <v>81</v>
      </c>
      <c r="D308" s="74" t="s">
        <v>11</v>
      </c>
      <c r="E308" s="74" t="s">
        <v>82</v>
      </c>
      <c r="F308" s="77">
        <v>13.008422467680473</v>
      </c>
    </row>
    <row r="309">
      <c r="A309" s="76">
        <v>59.0</v>
      </c>
      <c r="B309" s="74" t="s">
        <v>103</v>
      </c>
      <c r="C309" s="74" t="s">
        <v>104</v>
      </c>
      <c r="D309" s="74" t="s">
        <v>11</v>
      </c>
      <c r="E309" s="74" t="s">
        <v>31</v>
      </c>
      <c r="F309" s="80">
        <v>54.66842246768047</v>
      </c>
    </row>
    <row r="310">
      <c r="A310" s="76">
        <v>53.0</v>
      </c>
      <c r="B310" s="74" t="s">
        <v>241</v>
      </c>
      <c r="C310" s="74" t="s">
        <v>242</v>
      </c>
      <c r="D310" s="74" t="s">
        <v>30</v>
      </c>
      <c r="E310" s="74" t="s">
        <v>79</v>
      </c>
      <c r="F310" s="77">
        <v>33.06842246768048</v>
      </c>
    </row>
    <row r="311">
      <c r="A311" s="76">
        <v>41.0</v>
      </c>
      <c r="B311" s="74" t="s">
        <v>217</v>
      </c>
      <c r="C311" s="74" t="s">
        <v>218</v>
      </c>
      <c r="D311" s="74" t="s">
        <v>30</v>
      </c>
      <c r="E311" s="74" t="s">
        <v>91</v>
      </c>
      <c r="F311" s="80">
        <v>2.4184224676804735</v>
      </c>
    </row>
    <row r="312">
      <c r="A312" s="76">
        <v>7.0</v>
      </c>
      <c r="B312" s="74" t="s">
        <v>114</v>
      </c>
      <c r="C312" s="74" t="s">
        <v>115</v>
      </c>
      <c r="D312" s="74" t="s">
        <v>30</v>
      </c>
      <c r="E312" s="74" t="s">
        <v>91</v>
      </c>
      <c r="F312" s="77">
        <v>1.0584224676804739</v>
      </c>
    </row>
    <row r="313">
      <c r="A313" s="76">
        <v>92.0</v>
      </c>
      <c r="B313" s="74" t="s">
        <v>112</v>
      </c>
      <c r="C313" s="74" t="s">
        <v>197</v>
      </c>
      <c r="D313" s="74" t="s">
        <v>11</v>
      </c>
      <c r="E313" s="74" t="s">
        <v>43</v>
      </c>
      <c r="F313" s="80">
        <v>14.788422467680473</v>
      </c>
    </row>
    <row r="314">
      <c r="A314" s="76">
        <v>66.0</v>
      </c>
      <c r="B314" s="74" t="s">
        <v>150</v>
      </c>
      <c r="C314" s="74" t="s">
        <v>158</v>
      </c>
      <c r="D314" s="74" t="s">
        <v>30</v>
      </c>
      <c r="E314" s="74" t="s">
        <v>52</v>
      </c>
      <c r="F314" s="77">
        <v>68.12842246768047</v>
      </c>
    </row>
    <row r="315">
      <c r="A315" s="76">
        <v>70.0</v>
      </c>
      <c r="B315" s="74" t="s">
        <v>152</v>
      </c>
      <c r="C315" s="74" t="s">
        <v>153</v>
      </c>
      <c r="D315" s="74" t="s">
        <v>30</v>
      </c>
      <c r="E315" s="74" t="s">
        <v>35</v>
      </c>
      <c r="F315" s="80">
        <v>17.008422467680475</v>
      </c>
    </row>
    <row r="316">
      <c r="A316" s="76">
        <v>9.0</v>
      </c>
      <c r="B316" s="74" t="s">
        <v>207</v>
      </c>
      <c r="C316" s="74" t="s">
        <v>208</v>
      </c>
      <c r="D316" s="74" t="s">
        <v>30</v>
      </c>
      <c r="E316" s="74" t="s">
        <v>46</v>
      </c>
      <c r="F316" s="77">
        <v>13.208422467680473</v>
      </c>
    </row>
    <row r="317">
      <c r="A317" s="76">
        <v>42.0</v>
      </c>
      <c r="B317" s="74" t="s">
        <v>92</v>
      </c>
      <c r="C317" s="74" t="s">
        <v>170</v>
      </c>
      <c r="D317" s="74" t="s">
        <v>30</v>
      </c>
      <c r="E317" s="74" t="s">
        <v>97</v>
      </c>
      <c r="F317" s="80">
        <v>1.328422467680474</v>
      </c>
    </row>
    <row r="318">
      <c r="A318" s="76">
        <v>61.0</v>
      </c>
      <c r="B318" s="74" t="s">
        <v>106</v>
      </c>
      <c r="C318" s="74" t="s">
        <v>107</v>
      </c>
      <c r="D318" s="74" t="s">
        <v>30</v>
      </c>
      <c r="E318" s="74" t="s">
        <v>52</v>
      </c>
      <c r="F318" s="77">
        <v>56.13842246768048</v>
      </c>
    </row>
    <row r="319">
      <c r="A319" s="76">
        <v>63.0</v>
      </c>
      <c r="B319" s="74" t="s">
        <v>225</v>
      </c>
      <c r="C319" s="74" t="s">
        <v>226</v>
      </c>
      <c r="D319" s="74" t="s">
        <v>30</v>
      </c>
      <c r="E319" s="74" t="s">
        <v>60</v>
      </c>
      <c r="F319" s="80">
        <v>53.69842246768047</v>
      </c>
    </row>
    <row r="320">
      <c r="A320" s="76">
        <v>8.0</v>
      </c>
      <c r="B320" s="74" t="s">
        <v>108</v>
      </c>
      <c r="C320" s="74" t="s">
        <v>109</v>
      </c>
      <c r="D320" s="74" t="s">
        <v>30</v>
      </c>
      <c r="E320" s="74" t="s">
        <v>97</v>
      </c>
      <c r="F320" s="77">
        <v>1.2184224676804736</v>
      </c>
    </row>
    <row r="321">
      <c r="A321" s="76">
        <v>8.0</v>
      </c>
      <c r="B321" s="74" t="s">
        <v>108</v>
      </c>
      <c r="C321" s="74" t="s">
        <v>109</v>
      </c>
      <c r="D321" s="74" t="s">
        <v>30</v>
      </c>
      <c r="E321" s="74" t="s">
        <v>52</v>
      </c>
      <c r="F321" s="80">
        <v>48.83842246768047</v>
      </c>
    </row>
    <row r="322">
      <c r="A322" s="76">
        <v>80.0</v>
      </c>
      <c r="B322" s="74" t="s">
        <v>37</v>
      </c>
      <c r="C322" s="74" t="s">
        <v>38</v>
      </c>
      <c r="D322" s="74" t="s">
        <v>11</v>
      </c>
      <c r="E322" s="74" t="s">
        <v>60</v>
      </c>
      <c r="F322" s="77">
        <v>46.868422467680475</v>
      </c>
    </row>
    <row r="323">
      <c r="A323" s="76">
        <v>89.0</v>
      </c>
      <c r="B323" s="74" t="s">
        <v>135</v>
      </c>
      <c r="C323" s="74" t="s">
        <v>136</v>
      </c>
      <c r="D323" s="74" t="s">
        <v>30</v>
      </c>
      <c r="E323" s="74" t="s">
        <v>68</v>
      </c>
      <c r="F323" s="80">
        <v>10.828422467680474</v>
      </c>
    </row>
    <row r="324">
      <c r="A324" s="76">
        <v>15.0</v>
      </c>
      <c r="B324" s="74" t="s">
        <v>58</v>
      </c>
      <c r="C324" s="74" t="s">
        <v>59</v>
      </c>
      <c r="D324" s="74" t="s">
        <v>30</v>
      </c>
      <c r="E324" s="74" t="s">
        <v>60</v>
      </c>
      <c r="F324" s="77">
        <v>57.58842246768047</v>
      </c>
    </row>
    <row r="325">
      <c r="A325" s="76">
        <v>55.0</v>
      </c>
      <c r="B325" s="74" t="s">
        <v>202</v>
      </c>
      <c r="C325" s="74" t="s">
        <v>203</v>
      </c>
      <c r="D325" s="74" t="s">
        <v>30</v>
      </c>
      <c r="E325" s="74" t="s">
        <v>12</v>
      </c>
      <c r="F325" s="80">
        <v>9.658422467680474</v>
      </c>
    </row>
    <row r="326">
      <c r="A326" s="76">
        <v>87.0</v>
      </c>
      <c r="B326" s="74" t="s">
        <v>243</v>
      </c>
      <c r="C326" s="74" t="s">
        <v>244</v>
      </c>
      <c r="D326" s="74" t="s">
        <v>11</v>
      </c>
      <c r="E326" s="74" t="s">
        <v>82</v>
      </c>
      <c r="F326" s="77">
        <v>12.188422467680473</v>
      </c>
    </row>
    <row r="327">
      <c r="A327" s="76">
        <v>53.0</v>
      </c>
      <c r="B327" s="74" t="s">
        <v>241</v>
      </c>
      <c r="C327" s="74" t="s">
        <v>242</v>
      </c>
      <c r="D327" s="74" t="s">
        <v>30</v>
      </c>
      <c r="E327" s="74" t="s">
        <v>12</v>
      </c>
      <c r="F327" s="80">
        <v>9.618422467680473</v>
      </c>
    </row>
    <row r="328">
      <c r="A328" s="76">
        <v>44.0</v>
      </c>
      <c r="B328" s="74" t="s">
        <v>215</v>
      </c>
      <c r="C328" s="74" t="s">
        <v>216</v>
      </c>
      <c r="D328" s="74" t="s">
        <v>30</v>
      </c>
      <c r="E328" s="74" t="s">
        <v>50</v>
      </c>
      <c r="F328" s="77">
        <v>21.978422467680474</v>
      </c>
    </row>
    <row r="329">
      <c r="A329" s="76">
        <v>77.0</v>
      </c>
      <c r="B329" s="74" t="s">
        <v>9</v>
      </c>
      <c r="C329" s="74" t="s">
        <v>169</v>
      </c>
      <c r="D329" s="74" t="s">
        <v>30</v>
      </c>
      <c r="E329" s="74" t="s">
        <v>85</v>
      </c>
      <c r="F329" s="80">
        <v>14.938422467680473</v>
      </c>
    </row>
    <row r="330">
      <c r="A330" s="76">
        <v>21.0</v>
      </c>
      <c r="B330" s="74" t="s">
        <v>186</v>
      </c>
      <c r="C330" s="74" t="s">
        <v>187</v>
      </c>
      <c r="D330" s="74" t="s">
        <v>30</v>
      </c>
      <c r="E330" s="74" t="s">
        <v>12</v>
      </c>
      <c r="F330" s="77">
        <v>9.118422467680473</v>
      </c>
    </row>
    <row r="331">
      <c r="A331" s="76">
        <v>39.0</v>
      </c>
      <c r="B331" s="74" t="s">
        <v>89</v>
      </c>
      <c r="C331" s="74" t="s">
        <v>90</v>
      </c>
      <c r="D331" s="74" t="s">
        <v>11</v>
      </c>
      <c r="E331" s="74" t="s">
        <v>88</v>
      </c>
      <c r="F331" s="80">
        <v>31.608422467680477</v>
      </c>
    </row>
    <row r="332">
      <c r="A332" s="76">
        <v>1.0</v>
      </c>
      <c r="B332" s="74" t="s">
        <v>194</v>
      </c>
      <c r="C332" s="74" t="s">
        <v>195</v>
      </c>
      <c r="D332" s="74" t="s">
        <v>11</v>
      </c>
      <c r="E332" s="74" t="s">
        <v>82</v>
      </c>
      <c r="F332" s="77">
        <v>9.448422467680473</v>
      </c>
    </row>
    <row r="333">
      <c r="A333" s="76">
        <v>41.0</v>
      </c>
      <c r="B333" s="74" t="s">
        <v>217</v>
      </c>
      <c r="C333" s="74" t="s">
        <v>218</v>
      </c>
      <c r="D333" s="74" t="s">
        <v>11</v>
      </c>
      <c r="E333" s="74" t="s">
        <v>94</v>
      </c>
      <c r="F333" s="80">
        <v>29.238422467680476</v>
      </c>
    </row>
    <row r="334">
      <c r="A334" s="76">
        <v>7.0</v>
      </c>
      <c r="B334" s="74" t="s">
        <v>114</v>
      </c>
      <c r="C334" s="74" t="s">
        <v>115</v>
      </c>
      <c r="D334" s="74" t="s">
        <v>11</v>
      </c>
      <c r="E334" s="74" t="s">
        <v>68</v>
      </c>
      <c r="F334" s="77">
        <v>7.3784224676804735</v>
      </c>
    </row>
    <row r="335">
      <c r="A335" s="76">
        <v>13.0</v>
      </c>
      <c r="B335" s="74" t="s">
        <v>137</v>
      </c>
      <c r="C335" s="74" t="s">
        <v>138</v>
      </c>
      <c r="D335" s="74" t="s">
        <v>30</v>
      </c>
      <c r="E335" s="74" t="s">
        <v>94</v>
      </c>
      <c r="F335" s="80">
        <v>28.928422467680473</v>
      </c>
    </row>
    <row r="336">
      <c r="A336" s="76">
        <v>54.0</v>
      </c>
      <c r="B336" s="74" t="s">
        <v>86</v>
      </c>
      <c r="C336" s="74" t="s">
        <v>87</v>
      </c>
      <c r="D336" s="74" t="s">
        <v>11</v>
      </c>
      <c r="E336" s="74" t="s">
        <v>76</v>
      </c>
      <c r="F336" s="77">
        <v>9.778422467680473</v>
      </c>
    </row>
    <row r="337">
      <c r="A337" s="76">
        <v>24.0</v>
      </c>
      <c r="B337" s="74" t="s">
        <v>139</v>
      </c>
      <c r="C337" s="74" t="s">
        <v>140</v>
      </c>
      <c r="D337" s="74" t="s">
        <v>11</v>
      </c>
      <c r="E337" s="74" t="s">
        <v>50</v>
      </c>
      <c r="F337" s="80">
        <v>23.968422467680476</v>
      </c>
    </row>
    <row r="338">
      <c r="A338" s="76">
        <v>25.0</v>
      </c>
      <c r="B338" s="74" t="s">
        <v>154</v>
      </c>
      <c r="C338" s="74" t="s">
        <v>155</v>
      </c>
      <c r="D338" s="74" t="s">
        <v>30</v>
      </c>
      <c r="E338" s="74" t="s">
        <v>85</v>
      </c>
      <c r="F338" s="77">
        <v>15.968422467680474</v>
      </c>
    </row>
    <row r="339">
      <c r="A339" s="76">
        <v>73.0</v>
      </c>
      <c r="B339" s="74" t="s">
        <v>223</v>
      </c>
      <c r="C339" s="74" t="s">
        <v>224</v>
      </c>
      <c r="D339" s="74" t="s">
        <v>11</v>
      </c>
      <c r="E339" s="74" t="s">
        <v>12</v>
      </c>
      <c r="F339" s="80">
        <v>9.428422467680473</v>
      </c>
    </row>
    <row r="340">
      <c r="A340" s="76">
        <v>71.0</v>
      </c>
      <c r="B340" s="74" t="s">
        <v>150</v>
      </c>
      <c r="C340" s="74" t="s">
        <v>151</v>
      </c>
      <c r="D340" s="74" t="s">
        <v>30</v>
      </c>
      <c r="E340" s="74" t="s">
        <v>85</v>
      </c>
      <c r="F340" s="77">
        <v>13.988422467680474</v>
      </c>
    </row>
    <row r="341">
      <c r="A341" s="76">
        <v>95.0</v>
      </c>
      <c r="B341" s="74" t="s">
        <v>110</v>
      </c>
      <c r="C341" s="74" t="s">
        <v>111</v>
      </c>
      <c r="D341" s="74" t="s">
        <v>11</v>
      </c>
      <c r="E341" s="74" t="s">
        <v>43</v>
      </c>
      <c r="F341" s="80">
        <v>12.388422467680472</v>
      </c>
    </row>
    <row r="342">
      <c r="A342" s="76">
        <v>92.0</v>
      </c>
      <c r="B342" s="74" t="s">
        <v>112</v>
      </c>
      <c r="C342" s="74" t="s">
        <v>197</v>
      </c>
      <c r="D342" s="74" t="s">
        <v>30</v>
      </c>
      <c r="E342" s="74" t="s">
        <v>94</v>
      </c>
      <c r="F342" s="77">
        <v>29.588422467680473</v>
      </c>
    </row>
    <row r="343">
      <c r="A343" s="76">
        <v>33.0</v>
      </c>
      <c r="B343" s="74" t="s">
        <v>191</v>
      </c>
      <c r="C343" s="74" t="s">
        <v>192</v>
      </c>
      <c r="D343" s="74" t="s">
        <v>30</v>
      </c>
      <c r="E343" s="74" t="s">
        <v>82</v>
      </c>
      <c r="F343" s="80">
        <v>10.458422467680473</v>
      </c>
    </row>
    <row r="344">
      <c r="A344" s="76">
        <v>10.0</v>
      </c>
      <c r="B344" s="74" t="s">
        <v>148</v>
      </c>
      <c r="C344" s="74" t="s">
        <v>149</v>
      </c>
      <c r="D344" s="74" t="s">
        <v>11</v>
      </c>
      <c r="E344" s="74" t="s">
        <v>60</v>
      </c>
      <c r="F344" s="77">
        <v>33.88842246768048</v>
      </c>
    </row>
    <row r="345">
      <c r="A345" s="76">
        <v>16.0</v>
      </c>
      <c r="B345" s="74" t="s">
        <v>175</v>
      </c>
      <c r="C345" s="74" t="s">
        <v>176</v>
      </c>
      <c r="D345" s="74" t="s">
        <v>30</v>
      </c>
      <c r="E345" s="74" t="s">
        <v>97</v>
      </c>
      <c r="F345" s="80">
        <v>1.1984224676804736</v>
      </c>
    </row>
    <row r="346">
      <c r="A346" s="76">
        <v>29.0</v>
      </c>
      <c r="B346" s="74" t="s">
        <v>122</v>
      </c>
      <c r="C346" s="74" t="s">
        <v>123</v>
      </c>
      <c r="D346" s="74" t="s">
        <v>11</v>
      </c>
      <c r="E346" s="74" t="s">
        <v>97</v>
      </c>
      <c r="F346" s="77">
        <v>4.078422467680474</v>
      </c>
    </row>
    <row r="347">
      <c r="A347" s="76">
        <v>3.0</v>
      </c>
      <c r="B347" s="74" t="s">
        <v>80</v>
      </c>
      <c r="C347" s="74" t="s">
        <v>81</v>
      </c>
      <c r="D347" s="74" t="s">
        <v>11</v>
      </c>
      <c r="E347" s="74" t="s">
        <v>94</v>
      </c>
      <c r="F347" s="80">
        <v>24.618422467680475</v>
      </c>
    </row>
    <row r="348">
      <c r="A348" s="76">
        <v>40.0</v>
      </c>
      <c r="B348" s="74" t="s">
        <v>122</v>
      </c>
      <c r="C348" s="74" t="s">
        <v>185</v>
      </c>
      <c r="D348" s="74" t="s">
        <v>30</v>
      </c>
      <c r="E348" s="74" t="s">
        <v>50</v>
      </c>
      <c r="F348" s="77">
        <v>27.118422467680475</v>
      </c>
    </row>
    <row r="349">
      <c r="A349" s="76">
        <v>18.0</v>
      </c>
      <c r="B349" s="74" t="s">
        <v>163</v>
      </c>
      <c r="C349" s="74" t="s">
        <v>240</v>
      </c>
      <c r="D349" s="74" t="s">
        <v>11</v>
      </c>
      <c r="E349" s="74" t="s">
        <v>56</v>
      </c>
      <c r="F349" s="80">
        <v>70.20842246768046</v>
      </c>
    </row>
    <row r="350">
      <c r="A350" s="76">
        <v>41.0</v>
      </c>
      <c r="B350" s="74" t="s">
        <v>217</v>
      </c>
      <c r="C350" s="74" t="s">
        <v>218</v>
      </c>
      <c r="D350" s="74" t="s">
        <v>30</v>
      </c>
      <c r="E350" s="74" t="s">
        <v>72</v>
      </c>
      <c r="F350" s="77">
        <v>17.288422467680476</v>
      </c>
    </row>
    <row r="351">
      <c r="A351" s="76">
        <v>56.0</v>
      </c>
      <c r="B351" s="74" t="s">
        <v>127</v>
      </c>
      <c r="C351" s="74" t="s">
        <v>128</v>
      </c>
      <c r="D351" s="74" t="s">
        <v>11</v>
      </c>
      <c r="E351" s="74" t="s">
        <v>72</v>
      </c>
      <c r="F351" s="80">
        <v>17.298422467680474</v>
      </c>
    </row>
    <row r="352">
      <c r="A352" s="76">
        <v>79.0</v>
      </c>
      <c r="B352" s="74" t="s">
        <v>101</v>
      </c>
      <c r="C352" s="74" t="s">
        <v>102</v>
      </c>
      <c r="D352" s="74" t="s">
        <v>11</v>
      </c>
      <c r="E352" s="74" t="s">
        <v>12</v>
      </c>
      <c r="F352" s="77">
        <v>9.648422467680474</v>
      </c>
    </row>
    <row r="353">
      <c r="A353" s="76">
        <v>50.0</v>
      </c>
      <c r="B353" s="74" t="s">
        <v>33</v>
      </c>
      <c r="C353" s="74" t="s">
        <v>34</v>
      </c>
      <c r="D353" s="74" t="s">
        <v>11</v>
      </c>
      <c r="E353" s="74" t="s">
        <v>56</v>
      </c>
      <c r="F353" s="80">
        <v>79.21842246768047</v>
      </c>
    </row>
    <row r="354">
      <c r="A354" s="76">
        <v>10.0</v>
      </c>
      <c r="B354" s="74" t="s">
        <v>148</v>
      </c>
      <c r="C354" s="74" t="s">
        <v>149</v>
      </c>
      <c r="D354" s="74" t="s">
        <v>11</v>
      </c>
      <c r="E354" s="74" t="s">
        <v>35</v>
      </c>
      <c r="F354" s="77">
        <v>15.818422467680472</v>
      </c>
    </row>
    <row r="355">
      <c r="A355" s="76">
        <v>23.0</v>
      </c>
      <c r="B355" s="74" t="s">
        <v>235</v>
      </c>
      <c r="C355" s="74" t="s">
        <v>236</v>
      </c>
      <c r="D355" s="74" t="s">
        <v>11</v>
      </c>
      <c r="E355" s="74" t="s">
        <v>88</v>
      </c>
      <c r="F355" s="80">
        <v>40.92842246768048</v>
      </c>
    </row>
    <row r="356">
      <c r="A356" s="76">
        <v>18.0</v>
      </c>
      <c r="B356" s="74" t="s">
        <v>163</v>
      </c>
      <c r="C356" s="74" t="s">
        <v>240</v>
      </c>
      <c r="D356" s="74" t="s">
        <v>30</v>
      </c>
      <c r="E356" s="74" t="s">
        <v>79</v>
      </c>
      <c r="F356" s="77">
        <v>37.69842246768047</v>
      </c>
    </row>
    <row r="357">
      <c r="A357" s="76">
        <v>20.0</v>
      </c>
      <c r="B357" s="74" t="s">
        <v>161</v>
      </c>
      <c r="C357" s="74" t="s">
        <v>162</v>
      </c>
      <c r="D357" s="74" t="s">
        <v>30</v>
      </c>
      <c r="E357" s="74" t="s">
        <v>12</v>
      </c>
      <c r="F357" s="80">
        <v>9.128422467680473</v>
      </c>
    </row>
    <row r="358">
      <c r="A358" s="76">
        <v>29.0</v>
      </c>
      <c r="B358" s="74" t="s">
        <v>122</v>
      </c>
      <c r="C358" s="74" t="s">
        <v>123</v>
      </c>
      <c r="D358" s="74" t="s">
        <v>11</v>
      </c>
      <c r="E358" s="74" t="s">
        <v>88</v>
      </c>
      <c r="F358" s="77">
        <v>37.078422467680475</v>
      </c>
    </row>
    <row r="359">
      <c r="A359" s="76">
        <v>24.0</v>
      </c>
      <c r="B359" s="74" t="s">
        <v>139</v>
      </c>
      <c r="C359" s="74" t="s">
        <v>140</v>
      </c>
      <c r="D359" s="74" t="s">
        <v>11</v>
      </c>
      <c r="E359" s="74" t="s">
        <v>43</v>
      </c>
      <c r="F359" s="80">
        <v>18.128422467680476</v>
      </c>
    </row>
    <row r="360">
      <c r="A360" s="76">
        <v>1.0</v>
      </c>
      <c r="B360" s="74" t="s">
        <v>194</v>
      </c>
      <c r="C360" s="74" t="s">
        <v>195</v>
      </c>
      <c r="D360" s="74" t="s">
        <v>11</v>
      </c>
      <c r="E360" s="74" t="s">
        <v>43</v>
      </c>
      <c r="F360" s="77">
        <v>17.338422467680473</v>
      </c>
    </row>
    <row r="361">
      <c r="A361" s="76">
        <v>57.0</v>
      </c>
      <c r="B361" s="74" t="s">
        <v>92</v>
      </c>
      <c r="C361" s="74" t="s">
        <v>190</v>
      </c>
      <c r="D361" s="74" t="s">
        <v>30</v>
      </c>
      <c r="E361" s="74" t="s">
        <v>12</v>
      </c>
      <c r="F361" s="80">
        <v>9.398422467680474</v>
      </c>
    </row>
    <row r="362">
      <c r="A362" s="76">
        <v>89.0</v>
      </c>
      <c r="B362" s="74" t="s">
        <v>135</v>
      </c>
      <c r="C362" s="74" t="s">
        <v>136</v>
      </c>
      <c r="D362" s="74" t="s">
        <v>30</v>
      </c>
      <c r="E362" s="74" t="s">
        <v>31</v>
      </c>
      <c r="F362" s="77">
        <v>38.95842246768048</v>
      </c>
    </row>
    <row r="363">
      <c r="A363" s="76">
        <v>87.0</v>
      </c>
      <c r="B363" s="74" t="s">
        <v>243</v>
      </c>
      <c r="C363" s="74" t="s">
        <v>244</v>
      </c>
      <c r="D363" s="74" t="s">
        <v>30</v>
      </c>
      <c r="E363" s="74" t="s">
        <v>94</v>
      </c>
      <c r="F363" s="80">
        <v>27.418422467680475</v>
      </c>
    </row>
    <row r="364">
      <c r="A364" s="76">
        <v>12.0</v>
      </c>
      <c r="B364" s="74" t="s">
        <v>188</v>
      </c>
      <c r="C364" s="74" t="s">
        <v>189</v>
      </c>
      <c r="D364" s="74" t="s">
        <v>11</v>
      </c>
      <c r="E364" s="74" t="s">
        <v>94</v>
      </c>
      <c r="F364" s="77">
        <v>29.718422467680476</v>
      </c>
    </row>
    <row r="365">
      <c r="A365" s="76">
        <v>75.0</v>
      </c>
      <c r="B365" s="74" t="s">
        <v>238</v>
      </c>
      <c r="C365" s="74" t="s">
        <v>239</v>
      </c>
      <c r="D365" s="74" t="s">
        <v>30</v>
      </c>
      <c r="E365" s="74" t="s">
        <v>46</v>
      </c>
      <c r="F365" s="80">
        <v>13.458422467680473</v>
      </c>
    </row>
    <row r="366">
      <c r="A366" s="76">
        <v>52.0</v>
      </c>
      <c r="B366" s="74" t="s">
        <v>181</v>
      </c>
      <c r="C366" s="74" t="s">
        <v>182</v>
      </c>
      <c r="D366" s="74" t="s">
        <v>11</v>
      </c>
      <c r="E366" s="74" t="s">
        <v>52</v>
      </c>
      <c r="F366" s="77">
        <v>68.56842246768046</v>
      </c>
    </row>
    <row r="367">
      <c r="A367" s="76">
        <v>36.0</v>
      </c>
      <c r="B367" s="74" t="s">
        <v>92</v>
      </c>
      <c r="C367" s="74" t="s">
        <v>93</v>
      </c>
      <c r="D367" s="74" t="s">
        <v>30</v>
      </c>
      <c r="E367" s="74" t="s">
        <v>52</v>
      </c>
      <c r="F367" s="80">
        <v>46.578422467680475</v>
      </c>
    </row>
    <row r="368">
      <c r="A368" s="76">
        <v>78.0</v>
      </c>
      <c r="B368" s="74" t="s">
        <v>28</v>
      </c>
      <c r="C368" s="74" t="s">
        <v>29</v>
      </c>
      <c r="D368" s="74" t="s">
        <v>11</v>
      </c>
      <c r="E368" s="74" t="s">
        <v>82</v>
      </c>
      <c r="F368" s="77">
        <v>13.288422467680473</v>
      </c>
    </row>
    <row r="369">
      <c r="A369" s="76">
        <v>35.0</v>
      </c>
      <c r="B369" s="74" t="s">
        <v>125</v>
      </c>
      <c r="C369" s="74" t="s">
        <v>126</v>
      </c>
      <c r="D369" s="74" t="s">
        <v>11</v>
      </c>
      <c r="E369" s="74" t="s">
        <v>52</v>
      </c>
      <c r="F369" s="80">
        <v>56.70842246768048</v>
      </c>
    </row>
    <row r="370">
      <c r="A370" s="76">
        <v>72.0</v>
      </c>
      <c r="B370" s="74" t="s">
        <v>133</v>
      </c>
      <c r="C370" s="74" t="s">
        <v>134</v>
      </c>
      <c r="D370" s="74" t="s">
        <v>11</v>
      </c>
      <c r="E370" s="74" t="s">
        <v>94</v>
      </c>
      <c r="F370" s="77">
        <v>29.778422467680475</v>
      </c>
    </row>
    <row r="371">
      <c r="A371" s="76">
        <v>5.0</v>
      </c>
      <c r="B371" s="74" t="s">
        <v>167</v>
      </c>
      <c r="C371" s="74" t="s">
        <v>168</v>
      </c>
      <c r="D371" s="74" t="s">
        <v>30</v>
      </c>
      <c r="E371" s="74" t="s">
        <v>43</v>
      </c>
      <c r="F371" s="80">
        <v>16.188422467680475</v>
      </c>
    </row>
    <row r="372">
      <c r="A372" s="76">
        <v>66.0</v>
      </c>
      <c r="B372" s="74" t="s">
        <v>150</v>
      </c>
      <c r="C372" s="74" t="s">
        <v>158</v>
      </c>
      <c r="D372" s="74" t="s">
        <v>11</v>
      </c>
      <c r="E372" s="74" t="s">
        <v>88</v>
      </c>
      <c r="F372" s="77">
        <v>36.42842246768048</v>
      </c>
    </row>
    <row r="373">
      <c r="A373" s="76">
        <v>28.0</v>
      </c>
      <c r="B373" s="74" t="s">
        <v>77</v>
      </c>
      <c r="C373" s="74" t="s">
        <v>78</v>
      </c>
      <c r="D373" s="74" t="s">
        <v>11</v>
      </c>
      <c r="E373" s="74" t="s">
        <v>85</v>
      </c>
      <c r="F373" s="80">
        <v>11.348422467680473</v>
      </c>
    </row>
    <row r="374">
      <c r="A374" s="76">
        <v>76.0</v>
      </c>
      <c r="B374" s="74" t="s">
        <v>213</v>
      </c>
      <c r="C374" s="74" t="s">
        <v>214</v>
      </c>
      <c r="D374" s="74" t="s">
        <v>11</v>
      </c>
      <c r="E374" s="74" t="s">
        <v>72</v>
      </c>
      <c r="F374" s="77">
        <v>19.518422467680473</v>
      </c>
    </row>
    <row r="375">
      <c r="A375" s="76">
        <v>4.0</v>
      </c>
      <c r="B375" s="74" t="s">
        <v>118</v>
      </c>
      <c r="C375" s="74" t="s">
        <v>119</v>
      </c>
      <c r="D375" s="74" t="s">
        <v>30</v>
      </c>
      <c r="E375" s="74" t="s">
        <v>68</v>
      </c>
      <c r="F375" s="80">
        <v>7.678422467680474</v>
      </c>
    </row>
    <row r="376">
      <c r="A376" s="76">
        <v>43.0</v>
      </c>
      <c r="B376" s="74" t="s">
        <v>95</v>
      </c>
      <c r="C376" s="74" t="s">
        <v>96</v>
      </c>
      <c r="D376" s="74" t="s">
        <v>11</v>
      </c>
      <c r="E376" s="74" t="s">
        <v>50</v>
      </c>
      <c r="F376" s="77">
        <v>28.748422467680474</v>
      </c>
    </row>
    <row r="377">
      <c r="A377" s="76">
        <v>64.0</v>
      </c>
      <c r="B377" s="74" t="s">
        <v>159</v>
      </c>
      <c r="C377" s="74" t="s">
        <v>160</v>
      </c>
      <c r="D377" s="74" t="s">
        <v>11</v>
      </c>
      <c r="E377" s="74" t="s">
        <v>82</v>
      </c>
      <c r="F377" s="80">
        <v>11.288422467680473</v>
      </c>
    </row>
    <row r="378">
      <c r="A378" s="76">
        <v>32.0</v>
      </c>
      <c r="B378" s="74" t="s">
        <v>146</v>
      </c>
      <c r="C378" s="74" t="s">
        <v>147</v>
      </c>
      <c r="D378" s="74" t="s">
        <v>30</v>
      </c>
      <c r="E378" s="74" t="s">
        <v>76</v>
      </c>
      <c r="F378" s="77">
        <v>10.698422467680473</v>
      </c>
    </row>
    <row r="379">
      <c r="A379" s="76">
        <v>97.0</v>
      </c>
      <c r="B379" s="74" t="s">
        <v>69</v>
      </c>
      <c r="C379" s="74" t="s">
        <v>70</v>
      </c>
      <c r="D379" s="74" t="s">
        <v>11</v>
      </c>
      <c r="E379" s="74" t="s">
        <v>31</v>
      </c>
      <c r="F379" s="80">
        <v>48.048422467680474</v>
      </c>
    </row>
    <row r="380">
      <c r="A380" s="76">
        <v>88.0</v>
      </c>
      <c r="B380" s="74" t="s">
        <v>200</v>
      </c>
      <c r="C380" s="74" t="s">
        <v>206</v>
      </c>
      <c r="D380" s="74" t="s">
        <v>11</v>
      </c>
      <c r="E380" s="74" t="s">
        <v>50</v>
      </c>
      <c r="F380" s="77">
        <v>29.718422467680476</v>
      </c>
    </row>
    <row r="381">
      <c r="A381" s="76">
        <v>81.0</v>
      </c>
      <c r="B381" s="74" t="s">
        <v>54</v>
      </c>
      <c r="C381" s="74" t="s">
        <v>55</v>
      </c>
      <c r="D381" s="74" t="s">
        <v>30</v>
      </c>
      <c r="E381" s="74" t="s">
        <v>72</v>
      </c>
      <c r="F381" s="80">
        <v>17.468422467680476</v>
      </c>
    </row>
    <row r="382">
      <c r="A382" s="76">
        <v>42.0</v>
      </c>
      <c r="B382" s="74" t="s">
        <v>92</v>
      </c>
      <c r="C382" s="74" t="s">
        <v>170</v>
      </c>
      <c r="D382" s="74" t="s">
        <v>11</v>
      </c>
      <c r="E382" s="74" t="s">
        <v>35</v>
      </c>
      <c r="F382" s="77">
        <v>12.678422467680473</v>
      </c>
    </row>
    <row r="383">
      <c r="A383" s="76">
        <v>39.0</v>
      </c>
      <c r="B383" s="74" t="s">
        <v>89</v>
      </c>
      <c r="C383" s="74" t="s">
        <v>90</v>
      </c>
      <c r="D383" s="74" t="s">
        <v>30</v>
      </c>
      <c r="E383" s="74" t="s">
        <v>68</v>
      </c>
      <c r="F383" s="80">
        <v>11.118422467680473</v>
      </c>
    </row>
    <row r="384">
      <c r="A384" s="76">
        <v>61.0</v>
      </c>
      <c r="B384" s="74" t="s">
        <v>106</v>
      </c>
      <c r="C384" s="74" t="s">
        <v>107</v>
      </c>
      <c r="D384" s="74" t="s">
        <v>11</v>
      </c>
      <c r="E384" s="74" t="s">
        <v>50</v>
      </c>
      <c r="F384" s="77">
        <v>20.988422467680476</v>
      </c>
    </row>
    <row r="385">
      <c r="A385" s="76">
        <v>1.0</v>
      </c>
      <c r="B385" s="74" t="s">
        <v>194</v>
      </c>
      <c r="C385" s="74" t="s">
        <v>195</v>
      </c>
      <c r="D385" s="74" t="s">
        <v>11</v>
      </c>
      <c r="E385" s="74" t="s">
        <v>72</v>
      </c>
      <c r="F385" s="80">
        <v>14.838422467680473</v>
      </c>
    </row>
    <row r="386">
      <c r="A386" s="76">
        <v>37.0</v>
      </c>
      <c r="B386" s="74" t="s">
        <v>245</v>
      </c>
      <c r="C386" s="74" t="s">
        <v>246</v>
      </c>
      <c r="D386" s="74" t="s">
        <v>11</v>
      </c>
      <c r="E386" s="74" t="s">
        <v>50</v>
      </c>
      <c r="F386" s="77">
        <v>23.678422467680473</v>
      </c>
    </row>
    <row r="387">
      <c r="A387" s="76">
        <v>65.0</v>
      </c>
      <c r="B387" s="74" t="s">
        <v>209</v>
      </c>
      <c r="C387" s="74" t="s">
        <v>210</v>
      </c>
      <c r="D387" s="74" t="s">
        <v>11</v>
      </c>
      <c r="E387" s="74" t="s">
        <v>60</v>
      </c>
      <c r="F387" s="80">
        <v>39.328422467680475</v>
      </c>
    </row>
    <row r="388">
      <c r="A388" s="76">
        <v>52.0</v>
      </c>
      <c r="B388" s="74" t="s">
        <v>181</v>
      </c>
      <c r="C388" s="74" t="s">
        <v>182</v>
      </c>
      <c r="D388" s="74" t="s">
        <v>30</v>
      </c>
      <c r="E388" s="74" t="s">
        <v>79</v>
      </c>
      <c r="F388" s="77">
        <v>35.548422467680474</v>
      </c>
    </row>
    <row r="389">
      <c r="A389" s="76">
        <v>22.0</v>
      </c>
      <c r="B389" s="74" t="s">
        <v>131</v>
      </c>
      <c r="C389" s="74" t="s">
        <v>132</v>
      </c>
      <c r="D389" s="74" t="s">
        <v>30</v>
      </c>
      <c r="E389" s="74" t="s">
        <v>31</v>
      </c>
      <c r="F389" s="80">
        <v>38.55842246768047</v>
      </c>
    </row>
    <row r="390">
      <c r="A390" s="76">
        <v>65.0</v>
      </c>
      <c r="B390" s="74" t="s">
        <v>209</v>
      </c>
      <c r="C390" s="74" t="s">
        <v>210</v>
      </c>
      <c r="D390" s="74" t="s">
        <v>30</v>
      </c>
      <c r="E390" s="74" t="s">
        <v>97</v>
      </c>
      <c r="F390" s="77">
        <v>3.768422467680474</v>
      </c>
    </row>
    <row r="391">
      <c r="A391" s="76">
        <v>46.0</v>
      </c>
      <c r="B391" s="74" t="s">
        <v>143</v>
      </c>
      <c r="C391" s="74" t="s">
        <v>144</v>
      </c>
      <c r="D391" s="74" t="s">
        <v>30</v>
      </c>
      <c r="E391" s="74" t="s">
        <v>94</v>
      </c>
      <c r="F391" s="80">
        <v>25.678422467680473</v>
      </c>
    </row>
    <row r="392">
      <c r="A392" s="76">
        <v>14.0</v>
      </c>
      <c r="B392" s="74" t="s">
        <v>171</v>
      </c>
      <c r="C392" s="74" t="s">
        <v>172</v>
      </c>
      <c r="D392" s="74" t="s">
        <v>11</v>
      </c>
      <c r="E392" s="74" t="s">
        <v>56</v>
      </c>
      <c r="F392" s="77">
        <v>65.42842246768046</v>
      </c>
    </row>
    <row r="393">
      <c r="A393" s="76">
        <v>3.0</v>
      </c>
      <c r="B393" s="74" t="s">
        <v>80</v>
      </c>
      <c r="C393" s="74" t="s">
        <v>81</v>
      </c>
      <c r="D393" s="74" t="s">
        <v>11</v>
      </c>
      <c r="E393" s="74" t="s">
        <v>68</v>
      </c>
      <c r="F393" s="80">
        <v>12.018422467680473</v>
      </c>
    </row>
    <row r="394">
      <c r="A394" s="76">
        <v>48.0</v>
      </c>
      <c r="B394" s="74" t="s">
        <v>41</v>
      </c>
      <c r="C394" s="74" t="s">
        <v>45</v>
      </c>
      <c r="D394" s="74" t="s">
        <v>11</v>
      </c>
      <c r="E394" s="74" t="s">
        <v>50</v>
      </c>
      <c r="F394" s="77">
        <v>21.658422467680474</v>
      </c>
    </row>
    <row r="395">
      <c r="A395" s="76">
        <v>18.0</v>
      </c>
      <c r="B395" s="74" t="s">
        <v>163</v>
      </c>
      <c r="C395" s="74" t="s">
        <v>240</v>
      </c>
      <c r="D395" s="74" t="s">
        <v>30</v>
      </c>
      <c r="E395" s="74" t="s">
        <v>39</v>
      </c>
      <c r="F395" s="80">
        <v>33.328422467680475</v>
      </c>
    </row>
    <row r="396">
      <c r="A396" s="76">
        <v>96.0</v>
      </c>
      <c r="B396" s="74" t="s">
        <v>163</v>
      </c>
      <c r="C396" s="74" t="s">
        <v>164</v>
      </c>
      <c r="D396" s="74" t="s">
        <v>11</v>
      </c>
      <c r="E396" s="74" t="s">
        <v>43</v>
      </c>
      <c r="F396" s="77">
        <v>17.978422467680474</v>
      </c>
    </row>
    <row r="397">
      <c r="A397" s="76">
        <v>1.0</v>
      </c>
      <c r="B397" s="74" t="s">
        <v>194</v>
      </c>
      <c r="C397" s="74" t="s">
        <v>195</v>
      </c>
      <c r="D397" s="74" t="s">
        <v>11</v>
      </c>
      <c r="E397" s="74" t="s">
        <v>46</v>
      </c>
      <c r="F397" s="80">
        <v>12.278422467680473</v>
      </c>
    </row>
    <row r="398">
      <c r="A398" s="76">
        <v>56.0</v>
      </c>
      <c r="B398" s="74" t="s">
        <v>127</v>
      </c>
      <c r="C398" s="74" t="s">
        <v>128</v>
      </c>
      <c r="D398" s="74" t="s">
        <v>30</v>
      </c>
      <c r="E398" s="74" t="s">
        <v>52</v>
      </c>
      <c r="F398" s="77">
        <v>61.09842246768047</v>
      </c>
    </row>
    <row r="399">
      <c r="A399" s="76">
        <v>50.0</v>
      </c>
      <c r="B399" s="74" t="s">
        <v>33</v>
      </c>
      <c r="C399" s="74" t="s">
        <v>34</v>
      </c>
      <c r="D399" s="74" t="s">
        <v>30</v>
      </c>
      <c r="E399" s="74" t="s">
        <v>46</v>
      </c>
      <c r="F399" s="80">
        <v>10.838422467680473</v>
      </c>
    </row>
    <row r="400">
      <c r="A400" s="76">
        <v>63.0</v>
      </c>
      <c r="B400" s="74" t="s">
        <v>225</v>
      </c>
      <c r="C400" s="74" t="s">
        <v>226</v>
      </c>
      <c r="D400" s="74" t="s">
        <v>11</v>
      </c>
      <c r="E400" s="74" t="s">
        <v>91</v>
      </c>
      <c r="F400" s="77">
        <v>3.178422467680474</v>
      </c>
    </row>
    <row r="401">
      <c r="A401" s="76">
        <v>5.0</v>
      </c>
      <c r="B401" s="74" t="s">
        <v>167</v>
      </c>
      <c r="C401" s="74" t="s">
        <v>168</v>
      </c>
      <c r="D401" s="74" t="s">
        <v>11</v>
      </c>
      <c r="E401" s="74" t="s">
        <v>88</v>
      </c>
      <c r="F401" s="80">
        <v>31.928422467680477</v>
      </c>
    </row>
    <row r="402">
      <c r="A402" s="76">
        <v>84.0</v>
      </c>
      <c r="B402" s="74" t="s">
        <v>141</v>
      </c>
      <c r="C402" s="74" t="s">
        <v>142</v>
      </c>
      <c r="D402" s="74" t="s">
        <v>30</v>
      </c>
      <c r="E402" s="74" t="s">
        <v>91</v>
      </c>
      <c r="F402" s="77">
        <v>0.5384224676804739</v>
      </c>
    </row>
    <row r="403">
      <c r="A403" s="76">
        <v>30.0</v>
      </c>
      <c r="B403" s="74" t="s">
        <v>9</v>
      </c>
      <c r="C403" s="74" t="s">
        <v>10</v>
      </c>
      <c r="D403" s="74" t="s">
        <v>11</v>
      </c>
      <c r="E403" s="74" t="s">
        <v>76</v>
      </c>
      <c r="F403" s="80">
        <v>10.998422467680474</v>
      </c>
    </row>
    <row r="404">
      <c r="A404" s="76">
        <v>61.0</v>
      </c>
      <c r="B404" s="74" t="s">
        <v>106</v>
      </c>
      <c r="C404" s="74" t="s">
        <v>107</v>
      </c>
      <c r="D404" s="74" t="s">
        <v>11</v>
      </c>
      <c r="E404" s="74" t="s">
        <v>68</v>
      </c>
      <c r="F404" s="77">
        <v>14.348422467680473</v>
      </c>
    </row>
    <row r="405">
      <c r="A405" s="76">
        <v>29.0</v>
      </c>
      <c r="B405" s="74" t="s">
        <v>122</v>
      </c>
      <c r="C405" s="74" t="s">
        <v>123</v>
      </c>
      <c r="D405" s="74" t="s">
        <v>30</v>
      </c>
      <c r="E405" s="74" t="s">
        <v>43</v>
      </c>
      <c r="F405" s="80">
        <v>17.288422467680476</v>
      </c>
    </row>
    <row r="406">
      <c r="A406" s="76">
        <v>6.0</v>
      </c>
      <c r="B406" s="74" t="s">
        <v>183</v>
      </c>
      <c r="C406" s="74" t="s">
        <v>184</v>
      </c>
      <c r="D406" s="74" t="s">
        <v>30</v>
      </c>
      <c r="E406" s="74" t="s">
        <v>88</v>
      </c>
      <c r="F406" s="77">
        <v>32.38842246768048</v>
      </c>
    </row>
    <row r="407">
      <c r="A407" s="76">
        <v>9.0</v>
      </c>
      <c r="B407" s="74" t="s">
        <v>207</v>
      </c>
      <c r="C407" s="74" t="s">
        <v>208</v>
      </c>
      <c r="D407" s="74" t="s">
        <v>30</v>
      </c>
      <c r="E407" s="74" t="s">
        <v>97</v>
      </c>
      <c r="F407" s="80">
        <v>4.298422467680474</v>
      </c>
    </row>
    <row r="408">
      <c r="A408" s="76">
        <v>78.0</v>
      </c>
      <c r="B408" s="74" t="s">
        <v>28</v>
      </c>
      <c r="C408" s="74" t="s">
        <v>29</v>
      </c>
      <c r="D408" s="74" t="s">
        <v>30</v>
      </c>
      <c r="E408" s="74" t="s">
        <v>72</v>
      </c>
      <c r="F408" s="77">
        <v>19.948422467680476</v>
      </c>
    </row>
    <row r="409">
      <c r="A409" s="76">
        <v>68.0</v>
      </c>
      <c r="B409" s="74" t="s">
        <v>41</v>
      </c>
      <c r="C409" s="74" t="s">
        <v>42</v>
      </c>
      <c r="D409" s="74" t="s">
        <v>11</v>
      </c>
      <c r="E409" s="74" t="s">
        <v>68</v>
      </c>
      <c r="F409" s="80">
        <v>18.198422467680476</v>
      </c>
    </row>
    <row r="410">
      <c r="A410" s="76">
        <v>71.0</v>
      </c>
      <c r="B410" s="74" t="s">
        <v>150</v>
      </c>
      <c r="C410" s="74" t="s">
        <v>151</v>
      </c>
      <c r="D410" s="74" t="s">
        <v>11</v>
      </c>
      <c r="E410" s="74" t="s">
        <v>85</v>
      </c>
      <c r="F410" s="77">
        <v>10.888422467680472</v>
      </c>
    </row>
    <row r="411">
      <c r="A411" s="76">
        <v>2.0</v>
      </c>
      <c r="B411" s="74" t="s">
        <v>83</v>
      </c>
      <c r="C411" s="74" t="s">
        <v>84</v>
      </c>
      <c r="D411" s="74" t="s">
        <v>11</v>
      </c>
      <c r="E411" s="74" t="s">
        <v>88</v>
      </c>
      <c r="F411" s="80">
        <v>33.158422467680474</v>
      </c>
    </row>
    <row r="412">
      <c r="A412" s="76">
        <v>73.0</v>
      </c>
      <c r="B412" s="74" t="s">
        <v>223</v>
      </c>
      <c r="C412" s="74" t="s">
        <v>224</v>
      </c>
      <c r="D412" s="74" t="s">
        <v>11</v>
      </c>
      <c r="E412" s="74" t="s">
        <v>60</v>
      </c>
      <c r="F412" s="77">
        <v>37.94842246768047</v>
      </c>
    </row>
    <row r="413">
      <c r="A413" s="76">
        <v>39.0</v>
      </c>
      <c r="B413" s="74" t="s">
        <v>89</v>
      </c>
      <c r="C413" s="74" t="s">
        <v>90</v>
      </c>
      <c r="D413" s="74" t="s">
        <v>30</v>
      </c>
      <c r="E413" s="74" t="s">
        <v>85</v>
      </c>
      <c r="F413" s="80">
        <v>11.718422467680472</v>
      </c>
    </row>
    <row r="414">
      <c r="A414" s="76">
        <v>67.0</v>
      </c>
      <c r="B414" s="74" t="s">
        <v>204</v>
      </c>
      <c r="C414" s="74" t="s">
        <v>205</v>
      </c>
      <c r="D414" s="74" t="s">
        <v>11</v>
      </c>
      <c r="E414" s="74" t="s">
        <v>85</v>
      </c>
      <c r="F414" s="77">
        <v>14.658422467680474</v>
      </c>
    </row>
    <row r="415">
      <c r="A415" s="76">
        <v>11.0</v>
      </c>
      <c r="B415" s="74" t="s">
        <v>227</v>
      </c>
      <c r="C415" s="74" t="s">
        <v>228</v>
      </c>
      <c r="D415" s="74" t="s">
        <v>30</v>
      </c>
      <c r="E415" s="74" t="s">
        <v>91</v>
      </c>
      <c r="F415" s="80">
        <v>2.5084224676804734</v>
      </c>
    </row>
    <row r="416">
      <c r="A416" s="76">
        <v>76.0</v>
      </c>
      <c r="B416" s="74" t="s">
        <v>213</v>
      </c>
      <c r="C416" s="74" t="s">
        <v>214</v>
      </c>
      <c r="D416" s="74" t="s">
        <v>11</v>
      </c>
      <c r="E416" s="74" t="s">
        <v>68</v>
      </c>
      <c r="F416" s="77">
        <v>11.048422467680473</v>
      </c>
    </row>
    <row r="417">
      <c r="A417" s="76">
        <v>51.0</v>
      </c>
      <c r="B417" s="74" t="s">
        <v>233</v>
      </c>
      <c r="C417" s="74" t="s">
        <v>234</v>
      </c>
      <c r="D417" s="74" t="s">
        <v>11</v>
      </c>
      <c r="E417" s="74" t="s">
        <v>39</v>
      </c>
      <c r="F417" s="80">
        <v>27.898422467680476</v>
      </c>
    </row>
    <row r="418">
      <c r="A418" s="76">
        <v>34.0</v>
      </c>
      <c r="B418" s="74" t="s">
        <v>177</v>
      </c>
      <c r="C418" s="74" t="s">
        <v>178</v>
      </c>
      <c r="D418" s="74" t="s">
        <v>11</v>
      </c>
      <c r="E418" s="74" t="s">
        <v>43</v>
      </c>
      <c r="F418" s="77">
        <v>19.548422467680474</v>
      </c>
    </row>
    <row r="419">
      <c r="A419" s="76">
        <v>64.0</v>
      </c>
      <c r="B419" s="74" t="s">
        <v>159</v>
      </c>
      <c r="C419" s="74" t="s">
        <v>160</v>
      </c>
      <c r="D419" s="74" t="s">
        <v>11</v>
      </c>
      <c r="E419" s="74" t="s">
        <v>91</v>
      </c>
      <c r="F419" s="80">
        <v>0.9884224676804736</v>
      </c>
    </row>
    <row r="420">
      <c r="A420" s="76">
        <v>96.0</v>
      </c>
      <c r="B420" s="74" t="s">
        <v>163</v>
      </c>
      <c r="C420" s="74" t="s">
        <v>164</v>
      </c>
      <c r="D420" s="74" t="s">
        <v>30</v>
      </c>
      <c r="E420" s="74" t="s">
        <v>50</v>
      </c>
      <c r="F420" s="77">
        <v>24.368422467680475</v>
      </c>
    </row>
    <row r="421">
      <c r="A421" s="76">
        <v>68.0</v>
      </c>
      <c r="B421" s="74" t="s">
        <v>41</v>
      </c>
      <c r="C421" s="74" t="s">
        <v>42</v>
      </c>
      <c r="D421" s="74" t="s">
        <v>30</v>
      </c>
      <c r="E421" s="74" t="s">
        <v>97</v>
      </c>
      <c r="F421" s="80">
        <v>1.2684224676804738</v>
      </c>
    </row>
    <row r="422">
      <c r="A422" s="76">
        <v>67.0</v>
      </c>
      <c r="B422" s="74" t="s">
        <v>204</v>
      </c>
      <c r="C422" s="74" t="s">
        <v>205</v>
      </c>
      <c r="D422" s="74" t="s">
        <v>11</v>
      </c>
      <c r="E422" s="74" t="s">
        <v>88</v>
      </c>
      <c r="F422" s="77">
        <v>39.51842246768047</v>
      </c>
    </row>
    <row r="423">
      <c r="A423" s="76">
        <v>21.0</v>
      </c>
      <c r="B423" s="74" t="s">
        <v>186</v>
      </c>
      <c r="C423" s="74" t="s">
        <v>187</v>
      </c>
      <c r="D423" s="74" t="s">
        <v>30</v>
      </c>
      <c r="E423" s="74" t="s">
        <v>85</v>
      </c>
      <c r="F423" s="80">
        <v>11.638422467680472</v>
      </c>
    </row>
    <row r="424">
      <c r="A424" s="76">
        <v>36.0</v>
      </c>
      <c r="B424" s="74" t="s">
        <v>92</v>
      </c>
      <c r="C424" s="74" t="s">
        <v>93</v>
      </c>
      <c r="D424" s="74" t="s">
        <v>11</v>
      </c>
      <c r="E424" s="74" t="s">
        <v>79</v>
      </c>
      <c r="F424" s="77">
        <v>36.74842246768048</v>
      </c>
    </row>
    <row r="425">
      <c r="A425" s="76">
        <v>95.0</v>
      </c>
      <c r="B425" s="74" t="s">
        <v>110</v>
      </c>
      <c r="C425" s="74" t="s">
        <v>111</v>
      </c>
      <c r="D425" s="74" t="s">
        <v>11</v>
      </c>
      <c r="E425" s="74" t="s">
        <v>72</v>
      </c>
      <c r="F425" s="80">
        <v>13.448422467680473</v>
      </c>
    </row>
    <row r="426">
      <c r="A426" s="76">
        <v>54.0</v>
      </c>
      <c r="B426" s="74" t="s">
        <v>86</v>
      </c>
      <c r="C426" s="74" t="s">
        <v>87</v>
      </c>
      <c r="D426" s="74" t="s">
        <v>11</v>
      </c>
      <c r="E426" s="74" t="s">
        <v>72</v>
      </c>
      <c r="F426" s="77">
        <v>13.588422467680473</v>
      </c>
    </row>
    <row r="427">
      <c r="A427" s="76">
        <v>98.0</v>
      </c>
      <c r="B427" s="74" t="s">
        <v>159</v>
      </c>
      <c r="C427" s="74" t="s">
        <v>196</v>
      </c>
      <c r="D427" s="74" t="s">
        <v>11</v>
      </c>
      <c r="E427" s="74" t="s">
        <v>46</v>
      </c>
      <c r="F427" s="80">
        <v>10.868422467680473</v>
      </c>
    </row>
    <row r="428">
      <c r="A428" s="76">
        <v>93.0</v>
      </c>
      <c r="B428" s="74" t="s">
        <v>129</v>
      </c>
      <c r="C428" s="74" t="s">
        <v>130</v>
      </c>
      <c r="D428" s="74" t="s">
        <v>30</v>
      </c>
      <c r="E428" s="74" t="s">
        <v>88</v>
      </c>
      <c r="F428" s="77">
        <v>35.34842246768047</v>
      </c>
    </row>
    <row r="429">
      <c r="A429" s="76">
        <v>45.0</v>
      </c>
      <c r="B429" s="74" t="s">
        <v>221</v>
      </c>
      <c r="C429" s="74" t="s">
        <v>222</v>
      </c>
      <c r="D429" s="74" t="s">
        <v>30</v>
      </c>
      <c r="E429" s="74" t="s">
        <v>43</v>
      </c>
      <c r="F429" s="80">
        <v>13.848422467680473</v>
      </c>
    </row>
    <row r="430">
      <c r="A430" s="76">
        <v>61.0</v>
      </c>
      <c r="B430" s="74" t="s">
        <v>106</v>
      </c>
      <c r="C430" s="74" t="s">
        <v>107</v>
      </c>
      <c r="D430" s="74" t="s">
        <v>30</v>
      </c>
      <c r="E430" s="74" t="s">
        <v>31</v>
      </c>
      <c r="F430" s="77">
        <v>50.13842246768048</v>
      </c>
    </row>
    <row r="431">
      <c r="A431" s="76">
        <v>76.0</v>
      </c>
      <c r="B431" s="74" t="s">
        <v>213</v>
      </c>
      <c r="C431" s="74" t="s">
        <v>214</v>
      </c>
      <c r="D431" s="74" t="s">
        <v>30</v>
      </c>
      <c r="E431" s="74" t="s">
        <v>35</v>
      </c>
      <c r="F431" s="80">
        <v>21.038422467680476</v>
      </c>
    </row>
    <row r="432">
      <c r="A432" s="76">
        <v>71.0</v>
      </c>
      <c r="B432" s="74" t="s">
        <v>150</v>
      </c>
      <c r="C432" s="74" t="s">
        <v>151</v>
      </c>
      <c r="D432" s="74" t="s">
        <v>30</v>
      </c>
      <c r="E432" s="74" t="s">
        <v>56</v>
      </c>
      <c r="F432" s="77">
        <v>59.81842246768048</v>
      </c>
    </row>
    <row r="433">
      <c r="A433" s="76">
        <v>44.0</v>
      </c>
      <c r="B433" s="74" t="s">
        <v>215</v>
      </c>
      <c r="C433" s="74" t="s">
        <v>216</v>
      </c>
      <c r="D433" s="74" t="s">
        <v>30</v>
      </c>
      <c r="E433" s="74" t="s">
        <v>91</v>
      </c>
      <c r="F433" s="80">
        <v>2.9184224676804735</v>
      </c>
    </row>
    <row r="434">
      <c r="A434" s="76">
        <v>98.0</v>
      </c>
      <c r="B434" s="74" t="s">
        <v>159</v>
      </c>
      <c r="C434" s="74" t="s">
        <v>196</v>
      </c>
      <c r="D434" s="74" t="s">
        <v>11</v>
      </c>
      <c r="E434" s="74" t="s">
        <v>56</v>
      </c>
      <c r="F434" s="77">
        <v>78.97842246768047</v>
      </c>
    </row>
    <row r="435">
      <c r="A435" s="76">
        <v>26.0</v>
      </c>
      <c r="B435" s="74" t="s">
        <v>211</v>
      </c>
      <c r="C435" s="74" t="s">
        <v>212</v>
      </c>
      <c r="D435" s="74" t="s">
        <v>11</v>
      </c>
      <c r="E435" s="74" t="s">
        <v>31</v>
      </c>
      <c r="F435" s="80">
        <v>49.83842246768047</v>
      </c>
    </row>
    <row r="436">
      <c r="A436" s="76">
        <v>8.0</v>
      </c>
      <c r="B436" s="74" t="s">
        <v>108</v>
      </c>
      <c r="C436" s="74" t="s">
        <v>109</v>
      </c>
      <c r="D436" s="74" t="s">
        <v>30</v>
      </c>
      <c r="E436" s="74" t="s">
        <v>79</v>
      </c>
      <c r="F436" s="77">
        <v>27.888422467680474</v>
      </c>
    </row>
    <row r="437">
      <c r="A437" s="76">
        <v>28.0</v>
      </c>
      <c r="B437" s="74" t="s">
        <v>77</v>
      </c>
      <c r="C437" s="74" t="s">
        <v>78</v>
      </c>
      <c r="D437" s="74" t="s">
        <v>11</v>
      </c>
      <c r="E437" s="74" t="s">
        <v>94</v>
      </c>
      <c r="F437" s="80">
        <v>27.978422467680474</v>
      </c>
    </row>
    <row r="438">
      <c r="A438" s="76">
        <v>27.0</v>
      </c>
      <c r="B438" s="74" t="s">
        <v>173</v>
      </c>
      <c r="C438" s="74" t="s">
        <v>174</v>
      </c>
      <c r="D438" s="74" t="s">
        <v>11</v>
      </c>
      <c r="E438" s="74" t="s">
        <v>72</v>
      </c>
      <c r="F438" s="77">
        <v>18.128422467680476</v>
      </c>
    </row>
    <row r="439">
      <c r="A439" s="76">
        <v>37.0</v>
      </c>
      <c r="B439" s="74" t="s">
        <v>245</v>
      </c>
      <c r="C439" s="74" t="s">
        <v>246</v>
      </c>
      <c r="D439" s="74" t="s">
        <v>30</v>
      </c>
      <c r="E439" s="74" t="s">
        <v>88</v>
      </c>
      <c r="F439" s="80">
        <v>39.978422467680474</v>
      </c>
    </row>
    <row r="440">
      <c r="A440" s="76">
        <v>99.0</v>
      </c>
      <c r="B440" s="74" t="s">
        <v>73</v>
      </c>
      <c r="C440" s="74" t="s">
        <v>74</v>
      </c>
      <c r="D440" s="74" t="s">
        <v>11</v>
      </c>
      <c r="E440" s="74" t="s">
        <v>97</v>
      </c>
      <c r="F440" s="77">
        <v>2.5784224676804737</v>
      </c>
    </row>
    <row r="441">
      <c r="A441" s="76">
        <v>31.0</v>
      </c>
      <c r="B441" s="74" t="s">
        <v>229</v>
      </c>
      <c r="C441" s="74" t="s">
        <v>230</v>
      </c>
      <c r="D441" s="74" t="s">
        <v>30</v>
      </c>
      <c r="E441" s="74" t="s">
        <v>88</v>
      </c>
      <c r="F441" s="80">
        <v>38.868422467680475</v>
      </c>
    </row>
    <row r="442">
      <c r="A442" s="76">
        <v>75.0</v>
      </c>
      <c r="B442" s="74" t="s">
        <v>238</v>
      </c>
      <c r="C442" s="74" t="s">
        <v>239</v>
      </c>
      <c r="D442" s="74" t="s">
        <v>30</v>
      </c>
      <c r="E442" s="74" t="s">
        <v>56</v>
      </c>
      <c r="F442" s="77">
        <v>61.288422467680476</v>
      </c>
    </row>
    <row r="443">
      <c r="A443" s="76">
        <v>66.0</v>
      </c>
      <c r="B443" s="74" t="s">
        <v>150</v>
      </c>
      <c r="C443" s="74" t="s">
        <v>158</v>
      </c>
      <c r="D443" s="74" t="s">
        <v>30</v>
      </c>
      <c r="E443" s="74" t="s">
        <v>31</v>
      </c>
      <c r="F443" s="80">
        <v>43.88842246768048</v>
      </c>
    </row>
    <row r="444">
      <c r="A444" s="76">
        <v>55.0</v>
      </c>
      <c r="B444" s="74" t="s">
        <v>202</v>
      </c>
      <c r="C444" s="74" t="s">
        <v>203</v>
      </c>
      <c r="D444" s="74" t="s">
        <v>11</v>
      </c>
      <c r="E444" s="74" t="s">
        <v>68</v>
      </c>
      <c r="F444" s="77">
        <v>10.858422467680473</v>
      </c>
    </row>
    <row r="445">
      <c r="A445" s="76">
        <v>38.0</v>
      </c>
      <c r="B445" s="74" t="s">
        <v>116</v>
      </c>
      <c r="C445" s="74" t="s">
        <v>117</v>
      </c>
      <c r="D445" s="74" t="s">
        <v>30</v>
      </c>
      <c r="E445" s="74" t="s">
        <v>94</v>
      </c>
      <c r="F445" s="80">
        <v>29.058422467680476</v>
      </c>
    </row>
    <row r="446">
      <c r="A446" s="76">
        <v>57.0</v>
      </c>
      <c r="B446" s="74" t="s">
        <v>92</v>
      </c>
      <c r="C446" s="74" t="s">
        <v>190</v>
      </c>
      <c r="D446" s="74" t="s">
        <v>30</v>
      </c>
      <c r="E446" s="74" t="s">
        <v>46</v>
      </c>
      <c r="F446" s="77">
        <v>12.538422467680473</v>
      </c>
    </row>
    <row r="447">
      <c r="A447" s="76">
        <v>54.0</v>
      </c>
      <c r="B447" s="74" t="s">
        <v>86</v>
      </c>
      <c r="C447" s="74" t="s">
        <v>87</v>
      </c>
      <c r="D447" s="74" t="s">
        <v>11</v>
      </c>
      <c r="E447" s="74" t="s">
        <v>12</v>
      </c>
      <c r="F447" s="80">
        <v>9.268422467680473</v>
      </c>
    </row>
    <row r="448">
      <c r="A448" s="76">
        <v>47.0</v>
      </c>
      <c r="B448" s="74" t="s">
        <v>120</v>
      </c>
      <c r="C448" s="74" t="s">
        <v>121</v>
      </c>
      <c r="D448" s="74" t="s">
        <v>30</v>
      </c>
      <c r="E448" s="74" t="s">
        <v>79</v>
      </c>
      <c r="F448" s="77">
        <v>32.74842246768048</v>
      </c>
    </row>
    <row r="449">
      <c r="A449" s="76">
        <v>10.0</v>
      </c>
      <c r="B449" s="74" t="s">
        <v>148</v>
      </c>
      <c r="C449" s="74" t="s">
        <v>149</v>
      </c>
      <c r="D449" s="74" t="s">
        <v>11</v>
      </c>
      <c r="E449" s="74" t="s">
        <v>68</v>
      </c>
      <c r="F449" s="80">
        <v>18.868422467680475</v>
      </c>
    </row>
    <row r="450">
      <c r="A450" s="76">
        <v>51.0</v>
      </c>
      <c r="B450" s="74" t="s">
        <v>233</v>
      </c>
      <c r="C450" s="74" t="s">
        <v>234</v>
      </c>
      <c r="D450" s="74" t="s">
        <v>11</v>
      </c>
      <c r="E450" s="74" t="s">
        <v>88</v>
      </c>
      <c r="F450" s="77">
        <v>38.688422467680475</v>
      </c>
    </row>
    <row r="451">
      <c r="A451" s="76">
        <v>22.0</v>
      </c>
      <c r="B451" s="74" t="s">
        <v>131</v>
      </c>
      <c r="C451" s="74" t="s">
        <v>132</v>
      </c>
      <c r="D451" s="74" t="s">
        <v>30</v>
      </c>
      <c r="E451" s="74" t="s">
        <v>39</v>
      </c>
      <c r="F451" s="80">
        <v>38.17842246768048</v>
      </c>
    </row>
    <row r="452">
      <c r="A452" s="76">
        <v>42.0</v>
      </c>
      <c r="B452" s="74" t="s">
        <v>92</v>
      </c>
      <c r="C452" s="74" t="s">
        <v>170</v>
      </c>
      <c r="D452" s="74" t="s">
        <v>11</v>
      </c>
      <c r="E452" s="74" t="s">
        <v>56</v>
      </c>
      <c r="F452" s="77">
        <v>74.06842246768046</v>
      </c>
    </row>
    <row r="453">
      <c r="A453" s="76">
        <v>15.0</v>
      </c>
      <c r="B453" s="74" t="s">
        <v>58</v>
      </c>
      <c r="C453" s="74" t="s">
        <v>59</v>
      </c>
      <c r="D453" s="74" t="s">
        <v>11</v>
      </c>
      <c r="E453" s="74" t="s">
        <v>50</v>
      </c>
      <c r="F453" s="80">
        <v>25.478422467680474</v>
      </c>
    </row>
    <row r="454">
      <c r="A454" s="76">
        <v>73.0</v>
      </c>
      <c r="B454" s="74" t="s">
        <v>223</v>
      </c>
      <c r="C454" s="74" t="s">
        <v>224</v>
      </c>
      <c r="D454" s="74" t="s">
        <v>30</v>
      </c>
      <c r="E454" s="74" t="s">
        <v>39</v>
      </c>
      <c r="F454" s="77">
        <v>32.10842246768048</v>
      </c>
    </row>
    <row r="455">
      <c r="A455" s="76">
        <v>33.0</v>
      </c>
      <c r="B455" s="74" t="s">
        <v>191</v>
      </c>
      <c r="C455" s="74" t="s">
        <v>192</v>
      </c>
      <c r="D455" s="74" t="s">
        <v>11</v>
      </c>
      <c r="E455" s="74" t="s">
        <v>85</v>
      </c>
      <c r="F455" s="80">
        <v>14.838422467680473</v>
      </c>
    </row>
    <row r="456">
      <c r="A456" s="76">
        <v>11.0</v>
      </c>
      <c r="B456" s="74" t="s">
        <v>227</v>
      </c>
      <c r="C456" s="74" t="s">
        <v>228</v>
      </c>
      <c r="D456" s="74" t="s">
        <v>30</v>
      </c>
      <c r="E456" s="74" t="s">
        <v>88</v>
      </c>
      <c r="F456" s="77">
        <v>39.398422467680476</v>
      </c>
    </row>
    <row r="457">
      <c r="A457" s="76">
        <v>51.0</v>
      </c>
      <c r="B457" s="74" t="s">
        <v>233</v>
      </c>
      <c r="C457" s="74" t="s">
        <v>234</v>
      </c>
      <c r="D457" s="74" t="s">
        <v>30</v>
      </c>
      <c r="E457" s="74" t="s">
        <v>97</v>
      </c>
      <c r="F457" s="80">
        <v>2.688422467680474</v>
      </c>
    </row>
    <row r="458">
      <c r="A458" s="76">
        <v>43.0</v>
      </c>
      <c r="B458" s="74" t="s">
        <v>95</v>
      </c>
      <c r="C458" s="74" t="s">
        <v>96</v>
      </c>
      <c r="D458" s="74" t="s">
        <v>11</v>
      </c>
      <c r="E458" s="74" t="s">
        <v>94</v>
      </c>
      <c r="F458" s="77">
        <v>31.178422467680477</v>
      </c>
    </row>
    <row r="459">
      <c r="A459" s="76">
        <v>41.0</v>
      </c>
      <c r="B459" s="74" t="s">
        <v>217</v>
      </c>
      <c r="C459" s="74" t="s">
        <v>218</v>
      </c>
      <c r="D459" s="74" t="s">
        <v>11</v>
      </c>
      <c r="E459" s="74" t="s">
        <v>39</v>
      </c>
      <c r="F459" s="80">
        <v>31.758422467680475</v>
      </c>
    </row>
    <row r="460">
      <c r="A460" s="76">
        <v>32.0</v>
      </c>
      <c r="B460" s="74" t="s">
        <v>146</v>
      </c>
      <c r="C460" s="74" t="s">
        <v>147</v>
      </c>
      <c r="D460" s="74" t="s">
        <v>30</v>
      </c>
      <c r="E460" s="74" t="s">
        <v>50</v>
      </c>
      <c r="F460" s="77">
        <v>22.038422467680476</v>
      </c>
    </row>
    <row r="461">
      <c r="A461" s="76">
        <v>66.0</v>
      </c>
      <c r="B461" s="74" t="s">
        <v>150</v>
      </c>
      <c r="C461" s="74" t="s">
        <v>158</v>
      </c>
      <c r="D461" s="74" t="s">
        <v>11</v>
      </c>
      <c r="E461" s="74" t="s">
        <v>94</v>
      </c>
      <c r="F461" s="80">
        <v>27.348422467680475</v>
      </c>
    </row>
    <row r="462">
      <c r="A462" s="76">
        <v>33.0</v>
      </c>
      <c r="B462" s="74" t="s">
        <v>191</v>
      </c>
      <c r="C462" s="74" t="s">
        <v>192</v>
      </c>
      <c r="D462" s="74" t="s">
        <v>30</v>
      </c>
      <c r="E462" s="74" t="s">
        <v>12</v>
      </c>
      <c r="F462" s="77">
        <v>9.698422467680473</v>
      </c>
    </row>
    <row r="463">
      <c r="A463" s="76">
        <v>83.0</v>
      </c>
      <c r="B463" s="74" t="s">
        <v>98</v>
      </c>
      <c r="C463" s="74" t="s">
        <v>99</v>
      </c>
      <c r="D463" s="74" t="s">
        <v>11</v>
      </c>
      <c r="E463" s="74" t="s">
        <v>35</v>
      </c>
      <c r="F463" s="80">
        <v>19.228422467680474</v>
      </c>
    </row>
    <row r="464">
      <c r="A464" s="76">
        <v>81.0</v>
      </c>
      <c r="B464" s="74" t="s">
        <v>54</v>
      </c>
      <c r="C464" s="74" t="s">
        <v>55</v>
      </c>
      <c r="D464" s="74" t="s">
        <v>30</v>
      </c>
      <c r="E464" s="74" t="s">
        <v>82</v>
      </c>
      <c r="F464" s="77">
        <v>14.058422467680472</v>
      </c>
    </row>
    <row r="465">
      <c r="A465" s="76">
        <v>92.0</v>
      </c>
      <c r="B465" s="74" t="s">
        <v>112</v>
      </c>
      <c r="C465" s="74" t="s">
        <v>197</v>
      </c>
      <c r="D465" s="74" t="s">
        <v>30</v>
      </c>
      <c r="E465" s="74" t="s">
        <v>12</v>
      </c>
      <c r="F465" s="80">
        <v>9.618422467680473</v>
      </c>
    </row>
    <row r="466">
      <c r="A466" s="76">
        <v>64.0</v>
      </c>
      <c r="B466" s="74" t="s">
        <v>159</v>
      </c>
      <c r="C466" s="74" t="s">
        <v>160</v>
      </c>
      <c r="D466" s="74" t="s">
        <v>11</v>
      </c>
      <c r="E466" s="74" t="s">
        <v>52</v>
      </c>
      <c r="F466" s="77">
        <v>62.74842246768048</v>
      </c>
    </row>
    <row r="467">
      <c r="A467" s="76">
        <v>96.0</v>
      </c>
      <c r="B467" s="74" t="s">
        <v>163</v>
      </c>
      <c r="C467" s="74" t="s">
        <v>164</v>
      </c>
      <c r="D467" s="74" t="s">
        <v>11</v>
      </c>
      <c r="E467" s="74" t="s">
        <v>50</v>
      </c>
      <c r="F467" s="80">
        <v>29.028422467680475</v>
      </c>
    </row>
    <row r="468">
      <c r="A468" s="76">
        <v>14.0</v>
      </c>
      <c r="B468" s="74" t="s">
        <v>171</v>
      </c>
      <c r="C468" s="74" t="s">
        <v>172</v>
      </c>
      <c r="D468" s="74" t="s">
        <v>30</v>
      </c>
      <c r="E468" s="74" t="s">
        <v>52</v>
      </c>
      <c r="F468" s="77">
        <v>47.868422467680475</v>
      </c>
    </row>
    <row r="469">
      <c r="A469" s="76">
        <v>13.0</v>
      </c>
      <c r="B469" s="74" t="s">
        <v>137</v>
      </c>
      <c r="C469" s="74" t="s">
        <v>138</v>
      </c>
      <c r="D469" s="74" t="s">
        <v>11</v>
      </c>
      <c r="E469" s="74" t="s">
        <v>50</v>
      </c>
      <c r="F469" s="80">
        <v>30.148422467680476</v>
      </c>
    </row>
    <row r="470">
      <c r="A470" s="76">
        <v>59.0</v>
      </c>
      <c r="B470" s="74" t="s">
        <v>103</v>
      </c>
      <c r="C470" s="74" t="s">
        <v>104</v>
      </c>
      <c r="D470" s="74" t="s">
        <v>11</v>
      </c>
      <c r="E470" s="74" t="s">
        <v>88</v>
      </c>
      <c r="F470" s="77">
        <v>39.41842246768047</v>
      </c>
    </row>
    <row r="471">
      <c r="A471" s="76">
        <v>83.0</v>
      </c>
      <c r="B471" s="74" t="s">
        <v>98</v>
      </c>
      <c r="C471" s="74" t="s">
        <v>99</v>
      </c>
      <c r="D471" s="74" t="s">
        <v>11</v>
      </c>
      <c r="E471" s="74" t="s">
        <v>94</v>
      </c>
      <c r="F471" s="80">
        <v>28.488422467680476</v>
      </c>
    </row>
    <row r="472">
      <c r="A472" s="76">
        <v>7.0</v>
      </c>
      <c r="B472" s="74" t="s">
        <v>114</v>
      </c>
      <c r="C472" s="74" t="s">
        <v>115</v>
      </c>
      <c r="D472" s="74" t="s">
        <v>11</v>
      </c>
      <c r="E472" s="74" t="s">
        <v>97</v>
      </c>
      <c r="F472" s="77">
        <v>2.7984224676804734</v>
      </c>
    </row>
    <row r="473">
      <c r="A473" s="76">
        <v>96.0</v>
      </c>
      <c r="B473" s="74" t="s">
        <v>163</v>
      </c>
      <c r="C473" s="74" t="s">
        <v>164</v>
      </c>
      <c r="D473" s="74" t="s">
        <v>11</v>
      </c>
      <c r="E473" s="74" t="s">
        <v>35</v>
      </c>
      <c r="F473" s="80">
        <v>17.008422467680475</v>
      </c>
    </row>
    <row r="474">
      <c r="A474" s="76">
        <v>12.0</v>
      </c>
      <c r="B474" s="74" t="s">
        <v>188</v>
      </c>
      <c r="C474" s="74" t="s">
        <v>189</v>
      </c>
      <c r="D474" s="74" t="s">
        <v>30</v>
      </c>
      <c r="E474" s="74" t="s">
        <v>50</v>
      </c>
      <c r="F474" s="77">
        <v>24.958422467680474</v>
      </c>
    </row>
    <row r="475">
      <c r="A475" s="76">
        <v>26.0</v>
      </c>
      <c r="B475" s="74" t="s">
        <v>211</v>
      </c>
      <c r="C475" s="74" t="s">
        <v>212</v>
      </c>
      <c r="D475" s="74" t="s">
        <v>11</v>
      </c>
      <c r="E475" s="74" t="s">
        <v>46</v>
      </c>
      <c r="F475" s="80">
        <v>11.248422467680474</v>
      </c>
    </row>
    <row r="476">
      <c r="A476" s="76">
        <v>13.0</v>
      </c>
      <c r="B476" s="74" t="s">
        <v>137</v>
      </c>
      <c r="C476" s="74" t="s">
        <v>138</v>
      </c>
      <c r="D476" s="74" t="s">
        <v>11</v>
      </c>
      <c r="E476" s="74" t="s">
        <v>31</v>
      </c>
      <c r="F476" s="77">
        <v>39.63842246768048</v>
      </c>
    </row>
    <row r="477">
      <c r="A477" s="76">
        <v>94.0</v>
      </c>
      <c r="B477" s="74" t="s">
        <v>207</v>
      </c>
      <c r="C477" s="74" t="s">
        <v>237</v>
      </c>
      <c r="D477" s="74" t="s">
        <v>30</v>
      </c>
      <c r="E477" s="74" t="s">
        <v>52</v>
      </c>
      <c r="F477" s="80">
        <v>60.718422467680476</v>
      </c>
    </row>
    <row r="478">
      <c r="A478" s="76">
        <v>72.0</v>
      </c>
      <c r="B478" s="74" t="s">
        <v>133</v>
      </c>
      <c r="C478" s="74" t="s">
        <v>134</v>
      </c>
      <c r="D478" s="74" t="s">
        <v>30</v>
      </c>
      <c r="E478" s="74" t="s">
        <v>82</v>
      </c>
      <c r="F478" s="77">
        <v>11.908422467680474</v>
      </c>
    </row>
    <row r="479">
      <c r="A479" s="76">
        <v>27.0</v>
      </c>
      <c r="B479" s="74" t="s">
        <v>173</v>
      </c>
      <c r="C479" s="74" t="s">
        <v>174</v>
      </c>
      <c r="D479" s="74" t="s">
        <v>11</v>
      </c>
      <c r="E479" s="74" t="s">
        <v>39</v>
      </c>
      <c r="F479" s="80">
        <v>20.378422467680476</v>
      </c>
    </row>
    <row r="480">
      <c r="A480" s="76">
        <v>62.0</v>
      </c>
      <c r="B480" s="74" t="s">
        <v>156</v>
      </c>
      <c r="C480" s="74" t="s">
        <v>157</v>
      </c>
      <c r="D480" s="74" t="s">
        <v>11</v>
      </c>
      <c r="E480" s="74" t="s">
        <v>88</v>
      </c>
      <c r="F480" s="77">
        <v>34.27842246768048</v>
      </c>
    </row>
    <row r="481">
      <c r="A481" s="76">
        <v>7.0</v>
      </c>
      <c r="B481" s="74" t="s">
        <v>114</v>
      </c>
      <c r="C481" s="74" t="s">
        <v>115</v>
      </c>
      <c r="D481" s="74" t="s">
        <v>11</v>
      </c>
      <c r="E481" s="74" t="s">
        <v>79</v>
      </c>
      <c r="F481" s="80">
        <v>35.91842246768047</v>
      </c>
    </row>
    <row r="482">
      <c r="A482" s="76">
        <v>14.0</v>
      </c>
      <c r="B482" s="74" t="s">
        <v>171</v>
      </c>
      <c r="C482" s="74" t="s">
        <v>172</v>
      </c>
      <c r="D482" s="74" t="s">
        <v>30</v>
      </c>
      <c r="E482" s="74" t="s">
        <v>31</v>
      </c>
      <c r="F482" s="77">
        <v>43.26842246768047</v>
      </c>
    </row>
    <row r="483">
      <c r="A483" s="76">
        <v>78.0</v>
      </c>
      <c r="B483" s="74" t="s">
        <v>28</v>
      </c>
      <c r="C483" s="74" t="s">
        <v>29</v>
      </c>
      <c r="D483" s="74" t="s">
        <v>30</v>
      </c>
      <c r="E483" s="74" t="s">
        <v>31</v>
      </c>
      <c r="F483" s="80">
        <v>52.38842246768048</v>
      </c>
    </row>
    <row r="484">
      <c r="A484" s="76">
        <v>60.0</v>
      </c>
      <c r="B484" s="74" t="s">
        <v>65</v>
      </c>
      <c r="C484" s="74" t="s">
        <v>66</v>
      </c>
      <c r="D484" s="74" t="s">
        <v>30</v>
      </c>
      <c r="E484" s="74" t="s">
        <v>72</v>
      </c>
      <c r="F484" s="77">
        <v>22.158422467680474</v>
      </c>
    </row>
    <row r="485">
      <c r="A485" s="76">
        <v>12.0</v>
      </c>
      <c r="B485" s="74" t="s">
        <v>188</v>
      </c>
      <c r="C485" s="74" t="s">
        <v>189</v>
      </c>
      <c r="D485" s="74" t="s">
        <v>11</v>
      </c>
      <c r="E485" s="74" t="s">
        <v>52</v>
      </c>
      <c r="F485" s="80">
        <v>59.298422467680474</v>
      </c>
    </row>
    <row r="486">
      <c r="A486" s="76">
        <v>92.0</v>
      </c>
      <c r="B486" s="74" t="s">
        <v>112</v>
      </c>
      <c r="C486" s="74" t="s">
        <v>197</v>
      </c>
      <c r="D486" s="74" t="s">
        <v>30</v>
      </c>
      <c r="E486" s="74" t="s">
        <v>91</v>
      </c>
      <c r="F486" s="77">
        <v>0.6984224676804738</v>
      </c>
    </row>
    <row r="487">
      <c r="A487" s="76">
        <v>95.0</v>
      </c>
      <c r="B487" s="74" t="s">
        <v>110</v>
      </c>
      <c r="C487" s="74" t="s">
        <v>111</v>
      </c>
      <c r="D487" s="74" t="s">
        <v>30</v>
      </c>
      <c r="E487" s="74" t="s">
        <v>97</v>
      </c>
      <c r="F487" s="80">
        <v>4.258422467680474</v>
      </c>
    </row>
    <row r="488">
      <c r="A488" s="76">
        <v>13.0</v>
      </c>
      <c r="B488" s="74" t="s">
        <v>137</v>
      </c>
      <c r="C488" s="74" t="s">
        <v>138</v>
      </c>
      <c r="D488" s="74" t="s">
        <v>11</v>
      </c>
      <c r="E488" s="74" t="s">
        <v>31</v>
      </c>
      <c r="F488" s="77">
        <v>47.26842246768047</v>
      </c>
    </row>
    <row r="489">
      <c r="A489" s="76">
        <v>75.0</v>
      </c>
      <c r="B489" s="74" t="s">
        <v>238</v>
      </c>
      <c r="C489" s="74" t="s">
        <v>239</v>
      </c>
      <c r="D489" s="74" t="s">
        <v>30</v>
      </c>
      <c r="E489" s="74" t="s">
        <v>56</v>
      </c>
      <c r="F489" s="80">
        <v>71.22842246768047</v>
      </c>
    </row>
    <row r="490">
      <c r="A490" s="76">
        <v>25.0</v>
      </c>
      <c r="B490" s="74" t="s">
        <v>154</v>
      </c>
      <c r="C490" s="74" t="s">
        <v>155</v>
      </c>
      <c r="D490" s="74" t="s">
        <v>30</v>
      </c>
      <c r="E490" s="74" t="s">
        <v>94</v>
      </c>
      <c r="F490" s="77">
        <v>27.998422467680474</v>
      </c>
    </row>
    <row r="491">
      <c r="A491" s="76">
        <v>25.0</v>
      </c>
      <c r="B491" s="74" t="s">
        <v>154</v>
      </c>
      <c r="C491" s="74" t="s">
        <v>155</v>
      </c>
      <c r="D491" s="74" t="s">
        <v>30</v>
      </c>
      <c r="E491" s="74" t="s">
        <v>85</v>
      </c>
      <c r="F491" s="80">
        <v>12.678422467680473</v>
      </c>
    </row>
    <row r="492">
      <c r="A492" s="76">
        <v>52.0</v>
      </c>
      <c r="B492" s="74" t="s">
        <v>181</v>
      </c>
      <c r="C492" s="74" t="s">
        <v>182</v>
      </c>
      <c r="D492" s="74" t="s">
        <v>30</v>
      </c>
      <c r="E492" s="74" t="s">
        <v>31</v>
      </c>
      <c r="F492" s="77">
        <v>46.69842246768047</v>
      </c>
    </row>
    <row r="493">
      <c r="A493" s="76">
        <v>25.0</v>
      </c>
      <c r="B493" s="74" t="s">
        <v>154</v>
      </c>
      <c r="C493" s="74" t="s">
        <v>155</v>
      </c>
      <c r="D493" s="74" t="s">
        <v>11</v>
      </c>
      <c r="E493" s="74" t="s">
        <v>94</v>
      </c>
      <c r="F493" s="80">
        <v>28.238422467680476</v>
      </c>
    </row>
    <row r="494">
      <c r="A494" s="76">
        <v>13.0</v>
      </c>
      <c r="B494" s="74" t="s">
        <v>137</v>
      </c>
      <c r="C494" s="74" t="s">
        <v>138</v>
      </c>
      <c r="D494" s="74" t="s">
        <v>11</v>
      </c>
      <c r="E494" s="74" t="s">
        <v>39</v>
      </c>
      <c r="F494" s="77">
        <v>38.95842246768048</v>
      </c>
    </row>
    <row r="495">
      <c r="A495" s="76">
        <v>100.0</v>
      </c>
      <c r="B495" s="74" t="s">
        <v>48</v>
      </c>
      <c r="C495" s="74" t="s">
        <v>49</v>
      </c>
      <c r="D495" s="74" t="s">
        <v>30</v>
      </c>
      <c r="E495" s="74" t="s">
        <v>85</v>
      </c>
      <c r="F495" s="80">
        <v>13.658422467680474</v>
      </c>
    </row>
    <row r="496">
      <c r="A496" s="76">
        <v>73.0</v>
      </c>
      <c r="B496" s="74" t="s">
        <v>223</v>
      </c>
      <c r="C496" s="74" t="s">
        <v>224</v>
      </c>
      <c r="D496" s="74" t="s">
        <v>11</v>
      </c>
      <c r="E496" s="74" t="s">
        <v>12</v>
      </c>
      <c r="F496" s="77">
        <v>9.648422467680474</v>
      </c>
    </row>
    <row r="497">
      <c r="A497" s="76">
        <v>28.0</v>
      </c>
      <c r="B497" s="74" t="s">
        <v>77</v>
      </c>
      <c r="C497" s="74" t="s">
        <v>78</v>
      </c>
      <c r="D497" s="74" t="s">
        <v>30</v>
      </c>
      <c r="E497" s="74" t="s">
        <v>94</v>
      </c>
      <c r="F497" s="80">
        <v>26.408422467680474</v>
      </c>
    </row>
    <row r="498">
      <c r="A498" s="76">
        <v>26.0</v>
      </c>
      <c r="B498" s="74" t="s">
        <v>211</v>
      </c>
      <c r="C498" s="74" t="s">
        <v>212</v>
      </c>
      <c r="D498" s="74" t="s">
        <v>11</v>
      </c>
      <c r="E498" s="74" t="s">
        <v>56</v>
      </c>
      <c r="F498" s="77">
        <v>68.40842246768047</v>
      </c>
    </row>
    <row r="499">
      <c r="A499" s="76">
        <v>63.0</v>
      </c>
      <c r="B499" s="74" t="s">
        <v>225</v>
      </c>
      <c r="C499" s="74" t="s">
        <v>226</v>
      </c>
      <c r="D499" s="74" t="s">
        <v>11</v>
      </c>
      <c r="E499" s="74" t="s">
        <v>46</v>
      </c>
      <c r="F499" s="80">
        <v>11.548422467680473</v>
      </c>
    </row>
    <row r="500">
      <c r="A500" s="76">
        <v>24.0</v>
      </c>
      <c r="B500" s="74" t="s">
        <v>139</v>
      </c>
      <c r="C500" s="74" t="s">
        <v>140</v>
      </c>
      <c r="D500" s="74" t="s">
        <v>11</v>
      </c>
      <c r="E500" s="74" t="s">
        <v>76</v>
      </c>
      <c r="F500" s="77">
        <v>10.478422467680472</v>
      </c>
    </row>
    <row r="501">
      <c r="A501" s="76">
        <v>37.0</v>
      </c>
      <c r="B501" s="74" t="s">
        <v>245</v>
      </c>
      <c r="C501" s="74" t="s">
        <v>246</v>
      </c>
      <c r="D501" s="74" t="s">
        <v>30</v>
      </c>
      <c r="E501" s="74" t="s">
        <v>46</v>
      </c>
      <c r="F501" s="80">
        <v>12.268422467680473</v>
      </c>
    </row>
    <row r="502">
      <c r="A502" s="76">
        <v>46.0</v>
      </c>
      <c r="B502" s="74" t="s">
        <v>143</v>
      </c>
      <c r="C502" s="74" t="s">
        <v>144</v>
      </c>
      <c r="D502" s="74" t="s">
        <v>11</v>
      </c>
      <c r="E502" s="74" t="s">
        <v>68</v>
      </c>
      <c r="F502" s="77">
        <v>16.478422467680474</v>
      </c>
    </row>
    <row r="503">
      <c r="A503" s="76">
        <v>91.0</v>
      </c>
      <c r="B503" s="74" t="s">
        <v>112</v>
      </c>
      <c r="C503" s="74" t="s">
        <v>113</v>
      </c>
      <c r="D503" s="74" t="s">
        <v>30</v>
      </c>
      <c r="E503" s="74" t="s">
        <v>35</v>
      </c>
      <c r="F503" s="80">
        <v>13.568422467680474</v>
      </c>
    </row>
    <row r="504">
      <c r="A504" s="76">
        <v>27.0</v>
      </c>
      <c r="B504" s="74" t="s">
        <v>173</v>
      </c>
      <c r="C504" s="74" t="s">
        <v>174</v>
      </c>
      <c r="D504" s="74" t="s">
        <v>11</v>
      </c>
      <c r="E504" s="74" t="s">
        <v>82</v>
      </c>
      <c r="F504" s="77">
        <v>10.498422467680474</v>
      </c>
    </row>
    <row r="505">
      <c r="A505" s="76">
        <v>6.0</v>
      </c>
      <c r="B505" s="74" t="s">
        <v>183</v>
      </c>
      <c r="C505" s="74" t="s">
        <v>184</v>
      </c>
      <c r="D505" s="74" t="s">
        <v>30</v>
      </c>
      <c r="E505" s="74" t="s">
        <v>60</v>
      </c>
      <c r="F505" s="80">
        <v>55.62842246768047</v>
      </c>
    </row>
    <row r="506">
      <c r="A506" s="76">
        <v>67.0</v>
      </c>
      <c r="B506" s="74" t="s">
        <v>204</v>
      </c>
      <c r="C506" s="74" t="s">
        <v>205</v>
      </c>
      <c r="D506" s="74" t="s">
        <v>30</v>
      </c>
      <c r="E506" s="74" t="s">
        <v>39</v>
      </c>
      <c r="F506" s="77">
        <v>26.228422467680474</v>
      </c>
    </row>
    <row r="507">
      <c r="A507" s="76">
        <v>49.0</v>
      </c>
      <c r="B507" s="74" t="s">
        <v>179</v>
      </c>
      <c r="C507" s="74" t="s">
        <v>180</v>
      </c>
      <c r="D507" s="74" t="s">
        <v>11</v>
      </c>
      <c r="E507" s="74" t="s">
        <v>88</v>
      </c>
      <c r="F507" s="80">
        <v>32.87842246768047</v>
      </c>
    </row>
    <row r="508">
      <c r="A508" s="76">
        <v>92.0</v>
      </c>
      <c r="B508" s="74" t="s">
        <v>112</v>
      </c>
      <c r="C508" s="74" t="s">
        <v>197</v>
      </c>
      <c r="D508" s="74" t="s">
        <v>30</v>
      </c>
      <c r="E508" s="74" t="s">
        <v>56</v>
      </c>
      <c r="F508" s="77">
        <v>60.008422467680475</v>
      </c>
    </row>
    <row r="509">
      <c r="A509" s="76">
        <v>82.0</v>
      </c>
      <c r="B509" s="74" t="s">
        <v>231</v>
      </c>
      <c r="C509" s="74" t="s">
        <v>232</v>
      </c>
      <c r="D509" s="74" t="s">
        <v>30</v>
      </c>
      <c r="E509" s="74" t="s">
        <v>94</v>
      </c>
      <c r="F509" s="80">
        <v>25.358422467680477</v>
      </c>
    </row>
    <row r="510">
      <c r="A510" s="76">
        <v>42.0</v>
      </c>
      <c r="B510" s="74" t="s">
        <v>92</v>
      </c>
      <c r="C510" s="74" t="s">
        <v>170</v>
      </c>
      <c r="D510" s="74" t="s">
        <v>11</v>
      </c>
      <c r="E510" s="74" t="s">
        <v>97</v>
      </c>
      <c r="F510" s="77">
        <v>4.248422467680474</v>
      </c>
    </row>
    <row r="511">
      <c r="A511" s="76">
        <v>29.0</v>
      </c>
      <c r="B511" s="74" t="s">
        <v>122</v>
      </c>
      <c r="C511" s="74" t="s">
        <v>123</v>
      </c>
      <c r="D511" s="74" t="s">
        <v>30</v>
      </c>
      <c r="E511" s="74" t="s">
        <v>91</v>
      </c>
      <c r="F511" s="80">
        <v>0.42842246768047376</v>
      </c>
    </row>
    <row r="512">
      <c r="A512" s="76">
        <v>74.0</v>
      </c>
      <c r="B512" s="74" t="s">
        <v>9</v>
      </c>
      <c r="C512" s="74" t="s">
        <v>124</v>
      </c>
      <c r="D512" s="74" t="s">
        <v>30</v>
      </c>
      <c r="E512" s="74" t="s">
        <v>39</v>
      </c>
      <c r="F512" s="77">
        <v>33.88842246768048</v>
      </c>
    </row>
    <row r="513">
      <c r="A513" s="76">
        <v>99.0</v>
      </c>
      <c r="B513" s="74" t="s">
        <v>73</v>
      </c>
      <c r="C513" s="74" t="s">
        <v>74</v>
      </c>
      <c r="D513" s="74" t="s">
        <v>11</v>
      </c>
      <c r="E513" s="74" t="s">
        <v>72</v>
      </c>
      <c r="F513" s="80">
        <v>22.598422467680475</v>
      </c>
    </row>
    <row r="514">
      <c r="A514" s="76">
        <v>34.0</v>
      </c>
      <c r="B514" s="74" t="s">
        <v>177</v>
      </c>
      <c r="C514" s="74" t="s">
        <v>178</v>
      </c>
      <c r="D514" s="74" t="s">
        <v>11</v>
      </c>
      <c r="E514" s="74" t="s">
        <v>68</v>
      </c>
      <c r="F514" s="77">
        <v>9.348422467680473</v>
      </c>
    </row>
    <row r="515">
      <c r="A515" s="76">
        <v>97.0</v>
      </c>
      <c r="B515" s="74" t="s">
        <v>69</v>
      </c>
      <c r="C515" s="74" t="s">
        <v>70</v>
      </c>
      <c r="D515" s="74" t="s">
        <v>11</v>
      </c>
      <c r="E515" s="74" t="s">
        <v>68</v>
      </c>
      <c r="F515" s="80">
        <v>7.868422467680474</v>
      </c>
    </row>
    <row r="516">
      <c r="A516" s="76">
        <v>55.0</v>
      </c>
      <c r="B516" s="74" t="s">
        <v>202</v>
      </c>
      <c r="C516" s="74" t="s">
        <v>203</v>
      </c>
      <c r="D516" s="74" t="s">
        <v>11</v>
      </c>
      <c r="E516" s="74" t="s">
        <v>72</v>
      </c>
      <c r="F516" s="77">
        <v>22.158422467680474</v>
      </c>
    </row>
    <row r="517">
      <c r="A517" s="76">
        <v>63.0</v>
      </c>
      <c r="B517" s="74" t="s">
        <v>225</v>
      </c>
      <c r="C517" s="74" t="s">
        <v>226</v>
      </c>
      <c r="D517" s="74" t="s">
        <v>11</v>
      </c>
      <c r="E517" s="74" t="s">
        <v>46</v>
      </c>
      <c r="F517" s="80">
        <v>12.408422467680474</v>
      </c>
    </row>
    <row r="518">
      <c r="A518" s="76">
        <v>23.0</v>
      </c>
      <c r="B518" s="74" t="s">
        <v>235</v>
      </c>
      <c r="C518" s="74" t="s">
        <v>236</v>
      </c>
      <c r="D518" s="74" t="s">
        <v>11</v>
      </c>
      <c r="E518" s="74" t="s">
        <v>76</v>
      </c>
      <c r="F518" s="77">
        <v>10.458422467680473</v>
      </c>
    </row>
    <row r="519">
      <c r="A519" s="76">
        <v>89.0</v>
      </c>
      <c r="B519" s="74" t="s">
        <v>135</v>
      </c>
      <c r="C519" s="74" t="s">
        <v>136</v>
      </c>
      <c r="D519" s="74" t="s">
        <v>11</v>
      </c>
      <c r="E519" s="74" t="s">
        <v>97</v>
      </c>
      <c r="F519" s="80">
        <v>3.558422467680474</v>
      </c>
    </row>
    <row r="520">
      <c r="A520" s="76">
        <v>69.0</v>
      </c>
      <c r="B520" s="74" t="s">
        <v>108</v>
      </c>
      <c r="C520" s="74" t="s">
        <v>145</v>
      </c>
      <c r="D520" s="74" t="s">
        <v>11</v>
      </c>
      <c r="E520" s="74" t="s">
        <v>72</v>
      </c>
      <c r="F520" s="77">
        <v>13.428422467680473</v>
      </c>
    </row>
    <row r="521">
      <c r="A521" s="76">
        <v>12.0</v>
      </c>
      <c r="B521" s="74" t="s">
        <v>188</v>
      </c>
      <c r="C521" s="74" t="s">
        <v>189</v>
      </c>
      <c r="D521" s="74" t="s">
        <v>11</v>
      </c>
      <c r="E521" s="74" t="s">
        <v>50</v>
      </c>
      <c r="F521" s="80">
        <v>21.578422467680475</v>
      </c>
    </row>
    <row r="522">
      <c r="A522" s="76">
        <v>94.0</v>
      </c>
      <c r="B522" s="74" t="s">
        <v>207</v>
      </c>
      <c r="C522" s="74" t="s">
        <v>237</v>
      </c>
      <c r="D522" s="74" t="s">
        <v>30</v>
      </c>
      <c r="E522" s="74" t="s">
        <v>91</v>
      </c>
      <c r="F522" s="77">
        <v>0.7284224676804738</v>
      </c>
    </row>
    <row r="523">
      <c r="A523" s="76">
        <v>28.0</v>
      </c>
      <c r="B523" s="74" t="s">
        <v>77</v>
      </c>
      <c r="C523" s="74" t="s">
        <v>78</v>
      </c>
      <c r="D523" s="74" t="s">
        <v>30</v>
      </c>
      <c r="E523" s="74" t="s">
        <v>50</v>
      </c>
      <c r="F523" s="80">
        <v>32.828422467680475</v>
      </c>
    </row>
    <row r="524">
      <c r="A524" s="76">
        <v>53.0</v>
      </c>
      <c r="B524" s="74" t="s">
        <v>241</v>
      </c>
      <c r="C524" s="74" t="s">
        <v>242</v>
      </c>
      <c r="D524" s="74" t="s">
        <v>30</v>
      </c>
      <c r="E524" s="74" t="s">
        <v>82</v>
      </c>
      <c r="F524" s="77">
        <v>9.588422467680473</v>
      </c>
    </row>
    <row r="525">
      <c r="A525" s="76">
        <v>95.0</v>
      </c>
      <c r="B525" s="74" t="s">
        <v>110</v>
      </c>
      <c r="C525" s="74" t="s">
        <v>111</v>
      </c>
      <c r="D525" s="74" t="s">
        <v>30</v>
      </c>
      <c r="E525" s="74" t="s">
        <v>46</v>
      </c>
      <c r="F525" s="80">
        <v>13.988422467680474</v>
      </c>
    </row>
    <row r="526">
      <c r="A526" s="76">
        <v>81.0</v>
      </c>
      <c r="B526" s="74" t="s">
        <v>54</v>
      </c>
      <c r="C526" s="74" t="s">
        <v>55</v>
      </c>
      <c r="D526" s="74" t="s">
        <v>11</v>
      </c>
      <c r="E526" s="74" t="s">
        <v>82</v>
      </c>
      <c r="F526" s="77">
        <v>12.728422467680472</v>
      </c>
    </row>
    <row r="527">
      <c r="A527" s="76">
        <v>32.0</v>
      </c>
      <c r="B527" s="74" t="s">
        <v>146</v>
      </c>
      <c r="C527" s="74" t="s">
        <v>147</v>
      </c>
      <c r="D527" s="74" t="s">
        <v>30</v>
      </c>
      <c r="E527" s="74" t="s">
        <v>76</v>
      </c>
      <c r="F527" s="80">
        <v>11.238422467680474</v>
      </c>
    </row>
    <row r="528">
      <c r="A528" s="76">
        <v>6.0</v>
      </c>
      <c r="B528" s="74" t="s">
        <v>183</v>
      </c>
      <c r="C528" s="74" t="s">
        <v>184</v>
      </c>
      <c r="D528" s="74" t="s">
        <v>11</v>
      </c>
      <c r="E528" s="74" t="s">
        <v>88</v>
      </c>
      <c r="F528" s="77">
        <v>36.31842246768048</v>
      </c>
    </row>
    <row r="529">
      <c r="A529" s="76">
        <v>99.0</v>
      </c>
      <c r="B529" s="74" t="s">
        <v>73</v>
      </c>
      <c r="C529" s="74" t="s">
        <v>74</v>
      </c>
      <c r="D529" s="74" t="s">
        <v>11</v>
      </c>
      <c r="E529" s="74" t="s">
        <v>94</v>
      </c>
      <c r="F529" s="80">
        <v>28.048422467680474</v>
      </c>
    </row>
    <row r="530">
      <c r="A530" s="76">
        <v>15.0</v>
      </c>
      <c r="B530" s="74" t="s">
        <v>58</v>
      </c>
      <c r="C530" s="74" t="s">
        <v>59</v>
      </c>
      <c r="D530" s="74" t="s">
        <v>11</v>
      </c>
      <c r="E530" s="74" t="s">
        <v>12</v>
      </c>
      <c r="F530" s="77">
        <v>9.408422467680474</v>
      </c>
    </row>
    <row r="531">
      <c r="A531" s="76">
        <v>88.0</v>
      </c>
      <c r="B531" s="74" t="s">
        <v>200</v>
      </c>
      <c r="C531" s="74" t="s">
        <v>206</v>
      </c>
      <c r="D531" s="74" t="s">
        <v>11</v>
      </c>
      <c r="E531" s="74" t="s">
        <v>35</v>
      </c>
      <c r="F531" s="80">
        <v>20.488422467680476</v>
      </c>
    </row>
    <row r="532">
      <c r="A532" s="76">
        <v>63.0</v>
      </c>
      <c r="B532" s="74" t="s">
        <v>225</v>
      </c>
      <c r="C532" s="74" t="s">
        <v>226</v>
      </c>
      <c r="D532" s="74" t="s">
        <v>11</v>
      </c>
      <c r="E532" s="74" t="s">
        <v>88</v>
      </c>
      <c r="F532" s="77">
        <v>32.31842246768048</v>
      </c>
    </row>
    <row r="533">
      <c r="A533" s="76">
        <v>38.0</v>
      </c>
      <c r="B533" s="74" t="s">
        <v>116</v>
      </c>
      <c r="C533" s="74" t="s">
        <v>117</v>
      </c>
      <c r="D533" s="74" t="s">
        <v>11</v>
      </c>
      <c r="E533" s="74" t="s">
        <v>46</v>
      </c>
      <c r="F533" s="80">
        <v>12.108422467680473</v>
      </c>
    </row>
    <row r="534">
      <c r="A534" s="76">
        <v>48.0</v>
      </c>
      <c r="B534" s="74" t="s">
        <v>41</v>
      </c>
      <c r="C534" s="74" t="s">
        <v>45</v>
      </c>
      <c r="D534" s="74" t="s">
        <v>11</v>
      </c>
      <c r="E534" s="74" t="s">
        <v>52</v>
      </c>
      <c r="F534" s="77">
        <v>50.83842246768047</v>
      </c>
    </row>
    <row r="535">
      <c r="A535" s="76">
        <v>4.0</v>
      </c>
      <c r="B535" s="74" t="s">
        <v>118</v>
      </c>
      <c r="C535" s="74" t="s">
        <v>119</v>
      </c>
      <c r="D535" s="74" t="s">
        <v>30</v>
      </c>
      <c r="E535" s="74" t="s">
        <v>97</v>
      </c>
      <c r="F535" s="80">
        <v>2.4184224676804735</v>
      </c>
    </row>
    <row r="536">
      <c r="A536" s="76">
        <v>44.0</v>
      </c>
      <c r="B536" s="74" t="s">
        <v>215</v>
      </c>
      <c r="C536" s="74" t="s">
        <v>216</v>
      </c>
      <c r="D536" s="74" t="s">
        <v>30</v>
      </c>
      <c r="E536" s="74" t="s">
        <v>50</v>
      </c>
      <c r="F536" s="77">
        <v>26.258422467680475</v>
      </c>
    </row>
    <row r="537">
      <c r="A537" s="76">
        <v>86.0</v>
      </c>
      <c r="B537" s="74" t="s">
        <v>62</v>
      </c>
      <c r="C537" s="74" t="s">
        <v>63</v>
      </c>
      <c r="D537" s="74" t="s">
        <v>11</v>
      </c>
      <c r="E537" s="74" t="s">
        <v>52</v>
      </c>
      <c r="F537" s="80">
        <v>47.09842246768047</v>
      </c>
    </row>
    <row r="538">
      <c r="A538" s="76">
        <v>96.0</v>
      </c>
      <c r="B538" s="74" t="s">
        <v>163</v>
      </c>
      <c r="C538" s="74" t="s">
        <v>164</v>
      </c>
      <c r="D538" s="74" t="s">
        <v>30</v>
      </c>
      <c r="E538" s="74" t="s">
        <v>12</v>
      </c>
      <c r="F538" s="77">
        <v>9.838422467680473</v>
      </c>
    </row>
    <row r="539">
      <c r="A539" s="76">
        <v>73.0</v>
      </c>
      <c r="B539" s="74" t="s">
        <v>223</v>
      </c>
      <c r="C539" s="74" t="s">
        <v>224</v>
      </c>
      <c r="D539" s="74" t="s">
        <v>11</v>
      </c>
      <c r="E539" s="74" t="s">
        <v>82</v>
      </c>
      <c r="F539" s="80">
        <v>9.668422467680474</v>
      </c>
    </row>
    <row r="540">
      <c r="A540" s="76">
        <v>37.0</v>
      </c>
      <c r="B540" s="74" t="s">
        <v>245</v>
      </c>
      <c r="C540" s="74" t="s">
        <v>246</v>
      </c>
      <c r="D540" s="74" t="s">
        <v>30</v>
      </c>
      <c r="E540" s="74" t="s">
        <v>12</v>
      </c>
      <c r="F540" s="77">
        <v>9.278422467680473</v>
      </c>
    </row>
    <row r="541">
      <c r="A541" s="76">
        <v>27.0</v>
      </c>
      <c r="B541" s="74" t="s">
        <v>173</v>
      </c>
      <c r="C541" s="74" t="s">
        <v>174</v>
      </c>
      <c r="D541" s="74" t="s">
        <v>11</v>
      </c>
      <c r="E541" s="74" t="s">
        <v>43</v>
      </c>
      <c r="F541" s="80">
        <v>18.678422467680473</v>
      </c>
    </row>
    <row r="542">
      <c r="A542" s="76">
        <v>100.0</v>
      </c>
      <c r="B542" s="74" t="s">
        <v>48</v>
      </c>
      <c r="C542" s="74" t="s">
        <v>49</v>
      </c>
      <c r="D542" s="74" t="s">
        <v>11</v>
      </c>
      <c r="E542" s="74" t="s">
        <v>72</v>
      </c>
      <c r="F542" s="77">
        <v>15.958422467680473</v>
      </c>
    </row>
    <row r="543">
      <c r="A543" s="76">
        <v>94.0</v>
      </c>
      <c r="B543" s="74" t="s">
        <v>207</v>
      </c>
      <c r="C543" s="74" t="s">
        <v>237</v>
      </c>
      <c r="D543" s="74" t="s">
        <v>30</v>
      </c>
      <c r="E543" s="74" t="s">
        <v>46</v>
      </c>
      <c r="F543" s="80">
        <v>12.738422467680474</v>
      </c>
    </row>
    <row r="544">
      <c r="A544" s="76">
        <v>94.0</v>
      </c>
      <c r="B544" s="74" t="s">
        <v>207</v>
      </c>
      <c r="C544" s="74" t="s">
        <v>237</v>
      </c>
      <c r="D544" s="74" t="s">
        <v>11</v>
      </c>
      <c r="E544" s="74" t="s">
        <v>56</v>
      </c>
      <c r="F544" s="77">
        <v>77.84842246768046</v>
      </c>
    </row>
    <row r="545">
      <c r="A545" s="76">
        <v>29.0</v>
      </c>
      <c r="B545" s="74" t="s">
        <v>122</v>
      </c>
      <c r="C545" s="74" t="s">
        <v>123</v>
      </c>
      <c r="D545" s="74" t="s">
        <v>11</v>
      </c>
      <c r="E545" s="74" t="s">
        <v>46</v>
      </c>
      <c r="F545" s="80">
        <v>13.358422467680473</v>
      </c>
    </row>
    <row r="546">
      <c r="A546" s="76">
        <v>80.0</v>
      </c>
      <c r="B546" s="74" t="s">
        <v>37</v>
      </c>
      <c r="C546" s="74" t="s">
        <v>38</v>
      </c>
      <c r="D546" s="74" t="s">
        <v>30</v>
      </c>
      <c r="E546" s="74" t="s">
        <v>35</v>
      </c>
      <c r="F546" s="77">
        <v>15.788422467680475</v>
      </c>
    </row>
    <row r="547">
      <c r="A547" s="76">
        <v>98.0</v>
      </c>
      <c r="B547" s="74" t="s">
        <v>159</v>
      </c>
      <c r="C547" s="74" t="s">
        <v>196</v>
      </c>
      <c r="D547" s="74" t="s">
        <v>11</v>
      </c>
      <c r="E547" s="74" t="s">
        <v>72</v>
      </c>
      <c r="F547" s="80">
        <v>23.008422467680475</v>
      </c>
    </row>
    <row r="548">
      <c r="A548" s="76">
        <v>85.0</v>
      </c>
      <c r="B548" s="74" t="s">
        <v>198</v>
      </c>
      <c r="C548" s="74" t="s">
        <v>199</v>
      </c>
      <c r="D548" s="74" t="s">
        <v>30</v>
      </c>
      <c r="E548" s="74" t="s">
        <v>52</v>
      </c>
      <c r="F548" s="77">
        <v>55.80842246768047</v>
      </c>
    </row>
    <row r="549">
      <c r="A549" s="76">
        <v>59.0</v>
      </c>
      <c r="B549" s="74" t="s">
        <v>103</v>
      </c>
      <c r="C549" s="74" t="s">
        <v>104</v>
      </c>
      <c r="D549" s="74" t="s">
        <v>11</v>
      </c>
      <c r="E549" s="74" t="s">
        <v>68</v>
      </c>
      <c r="F549" s="80">
        <v>10.738422467680474</v>
      </c>
    </row>
    <row r="550">
      <c r="A550" s="76">
        <v>58.0</v>
      </c>
      <c r="B550" s="74" t="s">
        <v>165</v>
      </c>
      <c r="C550" s="74" t="s">
        <v>166</v>
      </c>
      <c r="D550" s="74" t="s">
        <v>11</v>
      </c>
      <c r="E550" s="74" t="s">
        <v>46</v>
      </c>
      <c r="F550" s="77">
        <v>13.018422467680473</v>
      </c>
    </row>
    <row r="551">
      <c r="A551" s="76">
        <v>57.0</v>
      </c>
      <c r="B551" s="74" t="s">
        <v>92</v>
      </c>
      <c r="C551" s="74" t="s">
        <v>190</v>
      </c>
      <c r="D551" s="74" t="s">
        <v>11</v>
      </c>
      <c r="E551" s="74" t="s">
        <v>43</v>
      </c>
      <c r="F551" s="80">
        <v>13.008422467680473</v>
      </c>
    </row>
    <row r="552">
      <c r="A552" s="76">
        <v>48.0</v>
      </c>
      <c r="B552" s="74" t="s">
        <v>41</v>
      </c>
      <c r="C552" s="74" t="s">
        <v>45</v>
      </c>
      <c r="D552" s="74" t="s">
        <v>30</v>
      </c>
      <c r="E552" s="74" t="s">
        <v>56</v>
      </c>
      <c r="F552" s="77">
        <v>60.478422467680474</v>
      </c>
    </row>
    <row r="553">
      <c r="A553" s="76">
        <v>64.0</v>
      </c>
      <c r="B553" s="74" t="s">
        <v>159</v>
      </c>
      <c r="C553" s="74" t="s">
        <v>160</v>
      </c>
      <c r="D553" s="74" t="s">
        <v>11</v>
      </c>
      <c r="E553" s="74" t="s">
        <v>50</v>
      </c>
      <c r="F553" s="80">
        <v>24.038422467680476</v>
      </c>
    </row>
    <row r="554">
      <c r="A554" s="76">
        <v>21.0</v>
      </c>
      <c r="B554" s="74" t="s">
        <v>186</v>
      </c>
      <c r="C554" s="74" t="s">
        <v>187</v>
      </c>
      <c r="D554" s="74" t="s">
        <v>30</v>
      </c>
      <c r="E554" s="74" t="s">
        <v>52</v>
      </c>
      <c r="F554" s="77">
        <v>67.93842246768047</v>
      </c>
    </row>
    <row r="555">
      <c r="A555" s="76">
        <v>92.0</v>
      </c>
      <c r="B555" s="74" t="s">
        <v>112</v>
      </c>
      <c r="C555" s="74" t="s">
        <v>197</v>
      </c>
      <c r="D555" s="74" t="s">
        <v>11</v>
      </c>
      <c r="E555" s="74" t="s">
        <v>97</v>
      </c>
      <c r="F555" s="80">
        <v>2.848422467680474</v>
      </c>
    </row>
    <row r="556">
      <c r="A556" s="76">
        <v>84.0</v>
      </c>
      <c r="B556" s="74" t="s">
        <v>141</v>
      </c>
      <c r="C556" s="74" t="s">
        <v>142</v>
      </c>
      <c r="D556" s="74" t="s">
        <v>11</v>
      </c>
      <c r="E556" s="74" t="s">
        <v>85</v>
      </c>
      <c r="F556" s="77">
        <v>13.278422467680473</v>
      </c>
    </row>
    <row r="557">
      <c r="A557" s="76">
        <v>70.0</v>
      </c>
      <c r="B557" s="74" t="s">
        <v>152</v>
      </c>
      <c r="C557" s="74" t="s">
        <v>153</v>
      </c>
      <c r="D557" s="74" t="s">
        <v>11</v>
      </c>
      <c r="E557" s="74" t="s">
        <v>76</v>
      </c>
      <c r="F557" s="80">
        <v>10.698422467680473</v>
      </c>
    </row>
    <row r="558">
      <c r="A558" s="76">
        <v>68.0</v>
      </c>
      <c r="B558" s="74" t="s">
        <v>41</v>
      </c>
      <c r="C558" s="74" t="s">
        <v>42</v>
      </c>
      <c r="D558" s="74" t="s">
        <v>11</v>
      </c>
      <c r="E558" s="74" t="s">
        <v>88</v>
      </c>
      <c r="F558" s="77">
        <v>34.31842246768048</v>
      </c>
    </row>
    <row r="559">
      <c r="A559" s="76">
        <v>93.0</v>
      </c>
      <c r="B559" s="74" t="s">
        <v>129</v>
      </c>
      <c r="C559" s="74" t="s">
        <v>130</v>
      </c>
      <c r="D559" s="74" t="s">
        <v>11</v>
      </c>
      <c r="E559" s="74" t="s">
        <v>79</v>
      </c>
      <c r="F559" s="80">
        <v>33.94842246768047</v>
      </c>
    </row>
    <row r="560">
      <c r="A560" s="76">
        <v>64.0</v>
      </c>
      <c r="B560" s="74" t="s">
        <v>159</v>
      </c>
      <c r="C560" s="74" t="s">
        <v>160</v>
      </c>
      <c r="D560" s="74" t="s">
        <v>30</v>
      </c>
      <c r="E560" s="74" t="s">
        <v>35</v>
      </c>
      <c r="F560" s="77">
        <v>20.628422467680476</v>
      </c>
    </row>
    <row r="561">
      <c r="A561" s="76">
        <v>3.0</v>
      </c>
      <c r="B561" s="74" t="s">
        <v>80</v>
      </c>
      <c r="C561" s="74" t="s">
        <v>81</v>
      </c>
      <c r="D561" s="74" t="s">
        <v>30</v>
      </c>
      <c r="E561" s="74" t="s">
        <v>88</v>
      </c>
      <c r="F561" s="80">
        <v>37.478422467680474</v>
      </c>
    </row>
    <row r="562">
      <c r="A562" s="76">
        <v>3.0</v>
      </c>
      <c r="B562" s="74" t="s">
        <v>80</v>
      </c>
      <c r="C562" s="74" t="s">
        <v>81</v>
      </c>
      <c r="D562" s="74" t="s">
        <v>30</v>
      </c>
      <c r="E562" s="74" t="s">
        <v>52</v>
      </c>
      <c r="F562" s="77">
        <v>59.10842246768048</v>
      </c>
    </row>
    <row r="563">
      <c r="A563" s="76">
        <v>37.0</v>
      </c>
      <c r="B563" s="74" t="s">
        <v>245</v>
      </c>
      <c r="C563" s="74" t="s">
        <v>246</v>
      </c>
      <c r="D563" s="74" t="s">
        <v>30</v>
      </c>
      <c r="E563" s="74" t="s">
        <v>79</v>
      </c>
      <c r="F563" s="80">
        <v>25.608422467680477</v>
      </c>
    </row>
    <row r="564">
      <c r="A564" s="76">
        <v>28.0</v>
      </c>
      <c r="B564" s="74" t="s">
        <v>77</v>
      </c>
      <c r="C564" s="74" t="s">
        <v>78</v>
      </c>
      <c r="D564" s="74" t="s">
        <v>30</v>
      </c>
      <c r="E564" s="74" t="s">
        <v>56</v>
      </c>
      <c r="F564" s="77">
        <v>58.51842246768047</v>
      </c>
    </row>
    <row r="565">
      <c r="A565" s="76">
        <v>61.0</v>
      </c>
      <c r="B565" s="74" t="s">
        <v>106</v>
      </c>
      <c r="C565" s="74" t="s">
        <v>107</v>
      </c>
      <c r="D565" s="74" t="s">
        <v>30</v>
      </c>
      <c r="E565" s="74" t="s">
        <v>31</v>
      </c>
      <c r="F565" s="80">
        <v>40.20842246768048</v>
      </c>
    </row>
    <row r="566">
      <c r="A566" s="76">
        <v>14.0</v>
      </c>
      <c r="B566" s="74" t="s">
        <v>171</v>
      </c>
      <c r="C566" s="74" t="s">
        <v>172</v>
      </c>
      <c r="D566" s="74" t="s">
        <v>30</v>
      </c>
      <c r="E566" s="74" t="s">
        <v>50</v>
      </c>
      <c r="F566" s="77">
        <v>28.948422467680476</v>
      </c>
    </row>
    <row r="567">
      <c r="A567" s="76">
        <v>41.0</v>
      </c>
      <c r="B567" s="74" t="s">
        <v>217</v>
      </c>
      <c r="C567" s="74" t="s">
        <v>218</v>
      </c>
      <c r="D567" s="74" t="s">
        <v>11</v>
      </c>
      <c r="E567" s="74" t="s">
        <v>52</v>
      </c>
      <c r="F567" s="80">
        <v>53.618422467680475</v>
      </c>
    </row>
    <row r="568">
      <c r="A568" s="76">
        <v>45.0</v>
      </c>
      <c r="B568" s="74" t="s">
        <v>221</v>
      </c>
      <c r="C568" s="74" t="s">
        <v>222</v>
      </c>
      <c r="D568" s="74" t="s">
        <v>30</v>
      </c>
      <c r="E568" s="74" t="s">
        <v>60</v>
      </c>
      <c r="F568" s="77">
        <v>48.60842246768048</v>
      </c>
    </row>
    <row r="569">
      <c r="A569" s="76">
        <v>29.0</v>
      </c>
      <c r="B569" s="74" t="s">
        <v>122</v>
      </c>
      <c r="C569" s="74" t="s">
        <v>123</v>
      </c>
      <c r="D569" s="74" t="s">
        <v>11</v>
      </c>
      <c r="E569" s="74" t="s">
        <v>94</v>
      </c>
      <c r="F569" s="80">
        <v>30.448422467680476</v>
      </c>
    </row>
    <row r="570">
      <c r="A570" s="76">
        <v>83.0</v>
      </c>
      <c r="B570" s="74" t="s">
        <v>98</v>
      </c>
      <c r="C570" s="74" t="s">
        <v>99</v>
      </c>
      <c r="D570" s="74" t="s">
        <v>30</v>
      </c>
      <c r="E570" s="74" t="s">
        <v>35</v>
      </c>
      <c r="F570" s="77">
        <v>12.468422467680472</v>
      </c>
    </row>
    <row r="571">
      <c r="A571" s="76">
        <v>5.0</v>
      </c>
      <c r="B571" s="74" t="s">
        <v>167</v>
      </c>
      <c r="C571" s="74" t="s">
        <v>168</v>
      </c>
      <c r="D571" s="74" t="s">
        <v>11</v>
      </c>
      <c r="E571" s="74" t="s">
        <v>82</v>
      </c>
      <c r="F571" s="80">
        <v>10.548422467680473</v>
      </c>
    </row>
    <row r="572">
      <c r="A572" s="76">
        <v>31.0</v>
      </c>
      <c r="B572" s="74" t="s">
        <v>229</v>
      </c>
      <c r="C572" s="74" t="s">
        <v>230</v>
      </c>
      <c r="D572" s="74" t="s">
        <v>30</v>
      </c>
      <c r="E572" s="74" t="s">
        <v>91</v>
      </c>
      <c r="F572" s="77">
        <v>2.9584224676804736</v>
      </c>
    </row>
    <row r="573">
      <c r="A573" s="76">
        <v>87.0</v>
      </c>
      <c r="B573" s="74" t="s">
        <v>243</v>
      </c>
      <c r="C573" s="74" t="s">
        <v>244</v>
      </c>
      <c r="D573" s="74" t="s">
        <v>11</v>
      </c>
      <c r="E573" s="74" t="s">
        <v>72</v>
      </c>
      <c r="F573" s="80">
        <v>23.258422467680475</v>
      </c>
    </row>
    <row r="574">
      <c r="A574" s="76">
        <v>97.0</v>
      </c>
      <c r="B574" s="74" t="s">
        <v>69</v>
      </c>
      <c r="C574" s="74" t="s">
        <v>70</v>
      </c>
      <c r="D574" s="74" t="s">
        <v>11</v>
      </c>
      <c r="E574" s="74" t="s">
        <v>31</v>
      </c>
      <c r="F574" s="77">
        <v>41.27842246768048</v>
      </c>
    </row>
    <row r="575">
      <c r="A575" s="76">
        <v>7.0</v>
      </c>
      <c r="B575" s="74" t="s">
        <v>114</v>
      </c>
      <c r="C575" s="74" t="s">
        <v>115</v>
      </c>
      <c r="D575" s="74" t="s">
        <v>11</v>
      </c>
      <c r="E575" s="74" t="s">
        <v>88</v>
      </c>
      <c r="F575" s="80">
        <v>36.16842246768047</v>
      </c>
    </row>
    <row r="576">
      <c r="A576" s="76">
        <v>1.0</v>
      </c>
      <c r="B576" s="74" t="s">
        <v>194</v>
      </c>
      <c r="C576" s="74" t="s">
        <v>195</v>
      </c>
      <c r="D576" s="74" t="s">
        <v>11</v>
      </c>
      <c r="E576" s="74" t="s">
        <v>35</v>
      </c>
      <c r="F576" s="77">
        <v>15.488422467680474</v>
      </c>
    </row>
    <row r="577">
      <c r="A577" s="76">
        <v>89.0</v>
      </c>
      <c r="B577" s="74" t="s">
        <v>135</v>
      </c>
      <c r="C577" s="74" t="s">
        <v>136</v>
      </c>
      <c r="D577" s="74" t="s">
        <v>30</v>
      </c>
      <c r="E577" s="74" t="s">
        <v>12</v>
      </c>
      <c r="F577" s="80">
        <v>9.508422467680473</v>
      </c>
    </row>
    <row r="578">
      <c r="A578" s="76">
        <v>88.0</v>
      </c>
      <c r="B578" s="74" t="s">
        <v>200</v>
      </c>
      <c r="C578" s="74" t="s">
        <v>206</v>
      </c>
      <c r="D578" s="74" t="s">
        <v>30</v>
      </c>
      <c r="E578" s="74" t="s">
        <v>68</v>
      </c>
      <c r="F578" s="77">
        <v>6.548422467680474</v>
      </c>
    </row>
    <row r="579">
      <c r="A579" s="76">
        <v>19.0</v>
      </c>
      <c r="B579" s="74" t="s">
        <v>41</v>
      </c>
      <c r="C579" s="74" t="s">
        <v>193</v>
      </c>
      <c r="D579" s="74" t="s">
        <v>30</v>
      </c>
      <c r="E579" s="74" t="s">
        <v>43</v>
      </c>
      <c r="F579" s="80">
        <v>16.458422467680474</v>
      </c>
    </row>
    <row r="580">
      <c r="A580" s="76">
        <v>82.0</v>
      </c>
      <c r="B580" s="74" t="s">
        <v>231</v>
      </c>
      <c r="C580" s="74" t="s">
        <v>232</v>
      </c>
      <c r="D580" s="74" t="s">
        <v>30</v>
      </c>
      <c r="E580" s="74" t="s">
        <v>82</v>
      </c>
      <c r="F580" s="77">
        <v>13.468422467680472</v>
      </c>
    </row>
    <row r="581">
      <c r="A581" s="76">
        <v>81.0</v>
      </c>
      <c r="B581" s="74" t="s">
        <v>54</v>
      </c>
      <c r="C581" s="74" t="s">
        <v>55</v>
      </c>
      <c r="D581" s="74" t="s">
        <v>30</v>
      </c>
      <c r="E581" s="74" t="s">
        <v>76</v>
      </c>
      <c r="F581" s="80">
        <v>11.048422467680473</v>
      </c>
    </row>
    <row r="582">
      <c r="A582" s="76">
        <v>63.0</v>
      </c>
      <c r="B582" s="74" t="s">
        <v>225</v>
      </c>
      <c r="C582" s="74" t="s">
        <v>226</v>
      </c>
      <c r="D582" s="74" t="s">
        <v>30</v>
      </c>
      <c r="E582" s="74" t="s">
        <v>35</v>
      </c>
      <c r="F582" s="77">
        <v>14.338422467680473</v>
      </c>
    </row>
    <row r="583">
      <c r="A583" s="76">
        <v>55.0</v>
      </c>
      <c r="B583" s="74" t="s">
        <v>202</v>
      </c>
      <c r="C583" s="74" t="s">
        <v>203</v>
      </c>
      <c r="D583" s="74" t="s">
        <v>11</v>
      </c>
      <c r="E583" s="74" t="s">
        <v>52</v>
      </c>
      <c r="F583" s="80">
        <v>59.538422467680476</v>
      </c>
    </row>
    <row r="584">
      <c r="A584" s="76">
        <v>69.0</v>
      </c>
      <c r="B584" s="74" t="s">
        <v>108</v>
      </c>
      <c r="C584" s="74" t="s">
        <v>145</v>
      </c>
      <c r="D584" s="74" t="s">
        <v>30</v>
      </c>
      <c r="E584" s="74" t="s">
        <v>12</v>
      </c>
      <c r="F584" s="77">
        <v>9.398422467680474</v>
      </c>
    </row>
    <row r="585">
      <c r="A585" s="76">
        <v>13.0</v>
      </c>
      <c r="B585" s="74" t="s">
        <v>137</v>
      </c>
      <c r="C585" s="74" t="s">
        <v>138</v>
      </c>
      <c r="D585" s="74" t="s">
        <v>30</v>
      </c>
      <c r="E585" s="74" t="s">
        <v>82</v>
      </c>
      <c r="F585" s="80">
        <v>9.008422467680473</v>
      </c>
    </row>
    <row r="586">
      <c r="A586" s="76">
        <v>10.0</v>
      </c>
      <c r="B586" s="74" t="s">
        <v>148</v>
      </c>
      <c r="C586" s="74" t="s">
        <v>149</v>
      </c>
      <c r="D586" s="74" t="s">
        <v>11</v>
      </c>
      <c r="E586" s="74" t="s">
        <v>52</v>
      </c>
      <c r="F586" s="77">
        <v>55.62842246768047</v>
      </c>
    </row>
    <row r="587">
      <c r="A587" s="76">
        <v>60.0</v>
      </c>
      <c r="B587" s="74" t="s">
        <v>65</v>
      </c>
      <c r="C587" s="74" t="s">
        <v>66</v>
      </c>
      <c r="D587" s="74" t="s">
        <v>30</v>
      </c>
      <c r="E587" s="74" t="s">
        <v>72</v>
      </c>
      <c r="F587" s="80">
        <v>14.088422467680473</v>
      </c>
    </row>
    <row r="588">
      <c r="A588" s="76">
        <v>80.0</v>
      </c>
      <c r="B588" s="74" t="s">
        <v>37</v>
      </c>
      <c r="C588" s="74" t="s">
        <v>38</v>
      </c>
      <c r="D588" s="74" t="s">
        <v>30</v>
      </c>
      <c r="E588" s="74" t="s">
        <v>85</v>
      </c>
      <c r="F588" s="77">
        <v>15.388422467680472</v>
      </c>
    </row>
    <row r="589">
      <c r="A589" s="76">
        <v>27.0</v>
      </c>
      <c r="B589" s="74" t="s">
        <v>173</v>
      </c>
      <c r="C589" s="74" t="s">
        <v>174</v>
      </c>
      <c r="D589" s="74" t="s">
        <v>11</v>
      </c>
      <c r="E589" s="74" t="s">
        <v>82</v>
      </c>
      <c r="F589" s="80">
        <v>9.508422467680473</v>
      </c>
    </row>
    <row r="590">
      <c r="A590" s="76">
        <v>35.0</v>
      </c>
      <c r="B590" s="74" t="s">
        <v>125</v>
      </c>
      <c r="C590" s="74" t="s">
        <v>126</v>
      </c>
      <c r="D590" s="74" t="s">
        <v>11</v>
      </c>
      <c r="E590" s="74" t="s">
        <v>35</v>
      </c>
      <c r="F590" s="77">
        <v>20.178422467680473</v>
      </c>
    </row>
    <row r="591">
      <c r="A591" s="76">
        <v>77.0</v>
      </c>
      <c r="B591" s="74" t="s">
        <v>9</v>
      </c>
      <c r="C591" s="74" t="s">
        <v>169</v>
      </c>
      <c r="D591" s="74" t="s">
        <v>30</v>
      </c>
      <c r="E591" s="74" t="s">
        <v>60</v>
      </c>
      <c r="F591" s="80">
        <v>46.508422467680475</v>
      </c>
    </row>
    <row r="592">
      <c r="A592" s="76">
        <v>31.0</v>
      </c>
      <c r="B592" s="74" t="s">
        <v>229</v>
      </c>
      <c r="C592" s="74" t="s">
        <v>230</v>
      </c>
      <c r="D592" s="74" t="s">
        <v>11</v>
      </c>
      <c r="E592" s="74" t="s">
        <v>79</v>
      </c>
      <c r="F592" s="77">
        <v>34.008422467680475</v>
      </c>
    </row>
    <row r="593">
      <c r="A593" s="76">
        <v>74.0</v>
      </c>
      <c r="B593" s="74" t="s">
        <v>9</v>
      </c>
      <c r="C593" s="74" t="s">
        <v>124</v>
      </c>
      <c r="D593" s="74" t="s">
        <v>11</v>
      </c>
      <c r="E593" s="74" t="s">
        <v>91</v>
      </c>
      <c r="F593" s="80">
        <v>1.4584224676804738</v>
      </c>
    </row>
    <row r="594">
      <c r="A594" s="76">
        <v>88.0</v>
      </c>
      <c r="B594" s="74" t="s">
        <v>200</v>
      </c>
      <c r="C594" s="74" t="s">
        <v>206</v>
      </c>
      <c r="D594" s="74" t="s">
        <v>11</v>
      </c>
      <c r="E594" s="74" t="s">
        <v>68</v>
      </c>
      <c r="F594" s="77">
        <v>16.178422467680473</v>
      </c>
    </row>
    <row r="595">
      <c r="A595" s="76">
        <v>79.0</v>
      </c>
      <c r="B595" s="74" t="s">
        <v>101</v>
      </c>
      <c r="C595" s="74" t="s">
        <v>102</v>
      </c>
      <c r="D595" s="74" t="s">
        <v>11</v>
      </c>
      <c r="E595" s="74" t="s">
        <v>76</v>
      </c>
      <c r="F595" s="80">
        <v>10.418422467680474</v>
      </c>
    </row>
    <row r="596">
      <c r="A596" s="76">
        <v>91.0</v>
      </c>
      <c r="B596" s="74" t="s">
        <v>112</v>
      </c>
      <c r="C596" s="74" t="s">
        <v>113</v>
      </c>
      <c r="D596" s="74" t="s">
        <v>30</v>
      </c>
      <c r="E596" s="74" t="s">
        <v>46</v>
      </c>
      <c r="F596" s="77">
        <v>12.188422467680473</v>
      </c>
    </row>
    <row r="597">
      <c r="A597" s="76">
        <v>63.0</v>
      </c>
      <c r="B597" s="74" t="s">
        <v>225</v>
      </c>
      <c r="C597" s="74" t="s">
        <v>226</v>
      </c>
      <c r="D597" s="74" t="s">
        <v>30</v>
      </c>
      <c r="E597" s="74" t="s">
        <v>79</v>
      </c>
      <c r="F597" s="80">
        <v>25.748422467680474</v>
      </c>
    </row>
    <row r="598">
      <c r="A598" s="76">
        <v>43.0</v>
      </c>
      <c r="B598" s="74" t="s">
        <v>95</v>
      </c>
      <c r="C598" s="74" t="s">
        <v>96</v>
      </c>
      <c r="D598" s="74" t="s">
        <v>30</v>
      </c>
      <c r="E598" s="74" t="s">
        <v>50</v>
      </c>
      <c r="F598" s="77">
        <v>23.848422467680475</v>
      </c>
    </row>
    <row r="599">
      <c r="A599" s="76">
        <v>56.0</v>
      </c>
      <c r="B599" s="74" t="s">
        <v>127</v>
      </c>
      <c r="C599" s="74" t="s">
        <v>128</v>
      </c>
      <c r="D599" s="74" t="s">
        <v>11</v>
      </c>
      <c r="E599" s="74" t="s">
        <v>50</v>
      </c>
      <c r="F599" s="80">
        <v>27.528422467680475</v>
      </c>
    </row>
    <row r="600">
      <c r="A600" s="76">
        <v>2.0</v>
      </c>
      <c r="B600" s="74" t="s">
        <v>83</v>
      </c>
      <c r="C600" s="74" t="s">
        <v>84</v>
      </c>
      <c r="D600" s="74" t="s">
        <v>30</v>
      </c>
      <c r="E600" s="74" t="s">
        <v>31</v>
      </c>
      <c r="F600" s="77">
        <v>37.328422467680475</v>
      </c>
    </row>
    <row r="601">
      <c r="A601" s="76">
        <v>85.0</v>
      </c>
      <c r="B601" s="74" t="s">
        <v>198</v>
      </c>
      <c r="C601" s="74" t="s">
        <v>199</v>
      </c>
      <c r="D601" s="74" t="s">
        <v>30</v>
      </c>
      <c r="E601" s="74" t="s">
        <v>56</v>
      </c>
      <c r="F601" s="80">
        <v>73.67842246768046</v>
      </c>
    </row>
    <row r="602">
      <c r="A602" s="76">
        <v>44.0</v>
      </c>
      <c r="B602" s="74" t="s">
        <v>215</v>
      </c>
      <c r="C602" s="74" t="s">
        <v>216</v>
      </c>
      <c r="D602" s="74" t="s">
        <v>11</v>
      </c>
      <c r="E602" s="74" t="s">
        <v>97</v>
      </c>
      <c r="F602" s="77">
        <v>2.148422467680474</v>
      </c>
    </row>
    <row r="603">
      <c r="A603" s="76">
        <v>53.0</v>
      </c>
      <c r="B603" s="74" t="s">
        <v>241</v>
      </c>
      <c r="C603" s="74" t="s">
        <v>242</v>
      </c>
      <c r="D603" s="74" t="s">
        <v>11</v>
      </c>
      <c r="E603" s="74" t="s">
        <v>85</v>
      </c>
      <c r="F603" s="80">
        <v>11.258422467680473</v>
      </c>
    </row>
    <row r="604">
      <c r="A604" s="76">
        <v>34.0</v>
      </c>
      <c r="B604" s="74" t="s">
        <v>177</v>
      </c>
      <c r="C604" s="74" t="s">
        <v>178</v>
      </c>
      <c r="D604" s="74" t="s">
        <v>30</v>
      </c>
      <c r="E604" s="74" t="s">
        <v>31</v>
      </c>
      <c r="F604" s="77">
        <v>55.408422467680474</v>
      </c>
    </row>
    <row r="605">
      <c r="A605" s="76">
        <v>15.0</v>
      </c>
      <c r="B605" s="74" t="s">
        <v>58</v>
      </c>
      <c r="C605" s="74" t="s">
        <v>59</v>
      </c>
      <c r="D605" s="74" t="s">
        <v>11</v>
      </c>
      <c r="E605" s="74" t="s">
        <v>43</v>
      </c>
      <c r="F605" s="80">
        <v>17.258422467680475</v>
      </c>
    </row>
    <row r="606">
      <c r="A606" s="76">
        <v>72.0</v>
      </c>
      <c r="B606" s="74" t="s">
        <v>133</v>
      </c>
      <c r="C606" s="74" t="s">
        <v>134</v>
      </c>
      <c r="D606" s="74" t="s">
        <v>11</v>
      </c>
      <c r="E606" s="74" t="s">
        <v>88</v>
      </c>
      <c r="F606" s="77">
        <v>30.438422467680475</v>
      </c>
    </row>
    <row r="607">
      <c r="A607" s="76">
        <v>5.0</v>
      </c>
      <c r="B607" s="74" t="s">
        <v>167</v>
      </c>
      <c r="C607" s="74" t="s">
        <v>168</v>
      </c>
      <c r="D607" s="74" t="s">
        <v>11</v>
      </c>
      <c r="E607" s="74" t="s">
        <v>56</v>
      </c>
      <c r="F607" s="80">
        <v>68.51842246768047</v>
      </c>
    </row>
    <row r="608">
      <c r="A608" s="76">
        <v>86.0</v>
      </c>
      <c r="B608" s="74" t="s">
        <v>62</v>
      </c>
      <c r="C608" s="74" t="s">
        <v>63</v>
      </c>
      <c r="D608" s="74" t="s">
        <v>30</v>
      </c>
      <c r="E608" s="74" t="s">
        <v>46</v>
      </c>
      <c r="F608" s="77">
        <v>11.918422467680474</v>
      </c>
    </row>
    <row r="609">
      <c r="A609" s="76">
        <v>50.0</v>
      </c>
      <c r="B609" s="74" t="s">
        <v>33</v>
      </c>
      <c r="C609" s="74" t="s">
        <v>34</v>
      </c>
      <c r="D609" s="74" t="s">
        <v>11</v>
      </c>
      <c r="E609" s="74" t="s">
        <v>50</v>
      </c>
      <c r="F609" s="80">
        <v>23.968422467680476</v>
      </c>
    </row>
    <row r="610">
      <c r="A610" s="76">
        <v>66.0</v>
      </c>
      <c r="B610" s="74" t="s">
        <v>150</v>
      </c>
      <c r="C610" s="74" t="s">
        <v>158</v>
      </c>
      <c r="D610" s="74" t="s">
        <v>11</v>
      </c>
      <c r="E610" s="74" t="s">
        <v>52</v>
      </c>
      <c r="F610" s="77">
        <v>45.978422467680474</v>
      </c>
    </row>
    <row r="611">
      <c r="A611" s="76">
        <v>45.0</v>
      </c>
      <c r="B611" s="74" t="s">
        <v>221</v>
      </c>
      <c r="C611" s="74" t="s">
        <v>222</v>
      </c>
      <c r="D611" s="74" t="s">
        <v>11</v>
      </c>
      <c r="E611" s="74" t="s">
        <v>56</v>
      </c>
      <c r="F611" s="80">
        <v>65.28842246768046</v>
      </c>
    </row>
    <row r="612">
      <c r="A612" s="76">
        <v>69.0</v>
      </c>
      <c r="B612" s="74" t="s">
        <v>108</v>
      </c>
      <c r="C612" s="74" t="s">
        <v>145</v>
      </c>
      <c r="D612" s="74" t="s">
        <v>11</v>
      </c>
      <c r="E612" s="74" t="s">
        <v>35</v>
      </c>
      <c r="F612" s="77">
        <v>15.548422467680473</v>
      </c>
    </row>
    <row r="613">
      <c r="A613" s="76">
        <v>50.0</v>
      </c>
      <c r="B613" s="74" t="s">
        <v>33</v>
      </c>
      <c r="C613" s="74" t="s">
        <v>34</v>
      </c>
      <c r="D613" s="74" t="s">
        <v>11</v>
      </c>
      <c r="E613" s="74" t="s">
        <v>56</v>
      </c>
      <c r="F613" s="80">
        <v>66.58842246768047</v>
      </c>
    </row>
    <row r="614">
      <c r="A614" s="76">
        <v>89.0</v>
      </c>
      <c r="B614" s="74" t="s">
        <v>135</v>
      </c>
      <c r="C614" s="74" t="s">
        <v>136</v>
      </c>
      <c r="D614" s="74" t="s">
        <v>30</v>
      </c>
      <c r="E614" s="74" t="s">
        <v>85</v>
      </c>
      <c r="F614" s="77">
        <v>13.328422467680474</v>
      </c>
    </row>
    <row r="615">
      <c r="A615" s="76">
        <v>4.0</v>
      </c>
      <c r="B615" s="74" t="s">
        <v>118</v>
      </c>
      <c r="C615" s="74" t="s">
        <v>119</v>
      </c>
      <c r="D615" s="74" t="s">
        <v>11</v>
      </c>
      <c r="E615" s="74" t="s">
        <v>50</v>
      </c>
      <c r="F615" s="80">
        <v>28.828422467680475</v>
      </c>
    </row>
    <row r="616">
      <c r="A616" s="76">
        <v>70.0</v>
      </c>
      <c r="B616" s="74" t="s">
        <v>152</v>
      </c>
      <c r="C616" s="74" t="s">
        <v>153</v>
      </c>
      <c r="D616" s="74" t="s">
        <v>11</v>
      </c>
      <c r="E616" s="74" t="s">
        <v>91</v>
      </c>
      <c r="F616" s="77">
        <v>1.2784224676804736</v>
      </c>
    </row>
    <row r="617">
      <c r="A617" s="76">
        <v>20.0</v>
      </c>
      <c r="B617" s="74" t="s">
        <v>161</v>
      </c>
      <c r="C617" s="74" t="s">
        <v>162</v>
      </c>
      <c r="D617" s="74" t="s">
        <v>11</v>
      </c>
      <c r="E617" s="74" t="s">
        <v>39</v>
      </c>
      <c r="F617" s="80">
        <v>24.838422467680473</v>
      </c>
    </row>
    <row r="618">
      <c r="A618" s="76">
        <v>12.0</v>
      </c>
      <c r="B618" s="74" t="s">
        <v>188</v>
      </c>
      <c r="C618" s="74" t="s">
        <v>189</v>
      </c>
      <c r="D618" s="74" t="s">
        <v>30</v>
      </c>
      <c r="E618" s="74" t="s">
        <v>39</v>
      </c>
      <c r="F618" s="77">
        <v>35.658422467680474</v>
      </c>
    </row>
    <row r="619">
      <c r="A619" s="76">
        <v>57.0</v>
      </c>
      <c r="B619" s="74" t="s">
        <v>92</v>
      </c>
      <c r="C619" s="74" t="s">
        <v>190</v>
      </c>
      <c r="D619" s="74" t="s">
        <v>11</v>
      </c>
      <c r="E619" s="74" t="s">
        <v>52</v>
      </c>
      <c r="F619" s="80">
        <v>51.648422467680476</v>
      </c>
    </row>
    <row r="620">
      <c r="A620" s="76">
        <v>60.0</v>
      </c>
      <c r="B620" s="74" t="s">
        <v>65</v>
      </c>
      <c r="C620" s="74" t="s">
        <v>66</v>
      </c>
      <c r="D620" s="74" t="s">
        <v>30</v>
      </c>
      <c r="E620" s="74" t="s">
        <v>88</v>
      </c>
      <c r="F620" s="77">
        <v>39.59842246768047</v>
      </c>
    </row>
    <row r="621">
      <c r="A621" s="76">
        <v>87.0</v>
      </c>
      <c r="B621" s="74" t="s">
        <v>243</v>
      </c>
      <c r="C621" s="74" t="s">
        <v>244</v>
      </c>
      <c r="D621" s="74" t="s">
        <v>30</v>
      </c>
      <c r="E621" s="74" t="s">
        <v>88</v>
      </c>
      <c r="F621" s="80">
        <v>34.94842246768047</v>
      </c>
    </row>
    <row r="622">
      <c r="A622" s="76">
        <v>98.0</v>
      </c>
      <c r="B622" s="74" t="s">
        <v>159</v>
      </c>
      <c r="C622" s="74" t="s">
        <v>196</v>
      </c>
      <c r="D622" s="74" t="s">
        <v>30</v>
      </c>
      <c r="E622" s="74" t="s">
        <v>97</v>
      </c>
      <c r="F622" s="77">
        <v>2.2884224676804736</v>
      </c>
    </row>
    <row r="623">
      <c r="A623" s="76">
        <v>21.0</v>
      </c>
      <c r="B623" s="74" t="s">
        <v>186</v>
      </c>
      <c r="C623" s="74" t="s">
        <v>187</v>
      </c>
      <c r="D623" s="74" t="s">
        <v>30</v>
      </c>
      <c r="E623" s="74" t="s">
        <v>91</v>
      </c>
      <c r="F623" s="80">
        <v>0.41842246768047375</v>
      </c>
    </row>
    <row r="624">
      <c r="A624" s="76">
        <v>37.0</v>
      </c>
      <c r="B624" s="74" t="s">
        <v>245</v>
      </c>
      <c r="C624" s="74" t="s">
        <v>246</v>
      </c>
      <c r="D624" s="74" t="s">
        <v>30</v>
      </c>
      <c r="E624" s="74" t="s">
        <v>82</v>
      </c>
      <c r="F624" s="77">
        <v>13.278422467680473</v>
      </c>
    </row>
    <row r="625">
      <c r="A625" s="76">
        <v>88.0</v>
      </c>
      <c r="B625" s="74" t="s">
        <v>200</v>
      </c>
      <c r="C625" s="74" t="s">
        <v>206</v>
      </c>
      <c r="D625" s="74" t="s">
        <v>11</v>
      </c>
      <c r="E625" s="74" t="s">
        <v>50</v>
      </c>
      <c r="F625" s="80">
        <v>22.558422467680476</v>
      </c>
    </row>
    <row r="626">
      <c r="A626" s="76">
        <v>79.0</v>
      </c>
      <c r="B626" s="74" t="s">
        <v>101</v>
      </c>
      <c r="C626" s="74" t="s">
        <v>102</v>
      </c>
      <c r="D626" s="74" t="s">
        <v>11</v>
      </c>
      <c r="E626" s="74" t="s">
        <v>68</v>
      </c>
      <c r="F626" s="77">
        <v>10.918422467680474</v>
      </c>
    </row>
    <row r="627">
      <c r="A627" s="76">
        <v>95.0</v>
      </c>
      <c r="B627" s="74" t="s">
        <v>110</v>
      </c>
      <c r="C627" s="74" t="s">
        <v>111</v>
      </c>
      <c r="D627" s="74" t="s">
        <v>11</v>
      </c>
      <c r="E627" s="74" t="s">
        <v>46</v>
      </c>
      <c r="F627" s="80">
        <v>12.408422467680474</v>
      </c>
    </row>
    <row r="628">
      <c r="A628" s="76">
        <v>78.0</v>
      </c>
      <c r="B628" s="74" t="s">
        <v>28</v>
      </c>
      <c r="C628" s="74" t="s">
        <v>29</v>
      </c>
      <c r="D628" s="74" t="s">
        <v>30</v>
      </c>
      <c r="E628" s="74" t="s">
        <v>91</v>
      </c>
      <c r="F628" s="77">
        <v>2.6184224676804737</v>
      </c>
    </row>
    <row r="629">
      <c r="A629" s="76">
        <v>18.0</v>
      </c>
      <c r="B629" s="74" t="s">
        <v>163</v>
      </c>
      <c r="C629" s="74" t="s">
        <v>240</v>
      </c>
      <c r="D629" s="74" t="s">
        <v>11</v>
      </c>
      <c r="E629" s="74" t="s">
        <v>31</v>
      </c>
      <c r="F629" s="80">
        <v>52.49842246768048</v>
      </c>
    </row>
    <row r="630">
      <c r="A630" s="76">
        <v>72.0</v>
      </c>
      <c r="B630" s="74" t="s">
        <v>133</v>
      </c>
      <c r="C630" s="74" t="s">
        <v>134</v>
      </c>
      <c r="D630" s="74" t="s">
        <v>30</v>
      </c>
      <c r="E630" s="74" t="s">
        <v>46</v>
      </c>
      <c r="F630" s="77">
        <v>13.178422467680473</v>
      </c>
    </row>
    <row r="631">
      <c r="A631" s="76">
        <v>82.0</v>
      </c>
      <c r="B631" s="74" t="s">
        <v>231</v>
      </c>
      <c r="C631" s="74" t="s">
        <v>232</v>
      </c>
      <c r="D631" s="74" t="s">
        <v>11</v>
      </c>
      <c r="E631" s="74" t="s">
        <v>91</v>
      </c>
      <c r="F631" s="80">
        <v>3.0484224676804743</v>
      </c>
    </row>
    <row r="632">
      <c r="A632" s="76">
        <v>72.0</v>
      </c>
      <c r="B632" s="74" t="s">
        <v>133</v>
      </c>
      <c r="C632" s="74" t="s">
        <v>134</v>
      </c>
      <c r="D632" s="74" t="s">
        <v>30</v>
      </c>
      <c r="E632" s="74" t="s">
        <v>91</v>
      </c>
      <c r="F632" s="77">
        <v>2.3284224676804737</v>
      </c>
    </row>
    <row r="633">
      <c r="A633" s="76">
        <v>33.0</v>
      </c>
      <c r="B633" s="74" t="s">
        <v>191</v>
      </c>
      <c r="C633" s="74" t="s">
        <v>192</v>
      </c>
      <c r="D633" s="74" t="s">
        <v>11</v>
      </c>
      <c r="E633" s="74" t="s">
        <v>31</v>
      </c>
      <c r="F633" s="80">
        <v>46.84842246768047</v>
      </c>
    </row>
    <row r="634">
      <c r="A634" s="76">
        <v>63.0</v>
      </c>
      <c r="B634" s="74" t="s">
        <v>225</v>
      </c>
      <c r="C634" s="74" t="s">
        <v>226</v>
      </c>
      <c r="D634" s="74" t="s">
        <v>30</v>
      </c>
      <c r="E634" s="74" t="s">
        <v>79</v>
      </c>
      <c r="F634" s="77">
        <v>30.058422467680476</v>
      </c>
    </row>
    <row r="635">
      <c r="A635" s="76">
        <v>71.0</v>
      </c>
      <c r="B635" s="74" t="s">
        <v>150</v>
      </c>
      <c r="C635" s="74" t="s">
        <v>151</v>
      </c>
      <c r="D635" s="74" t="s">
        <v>11</v>
      </c>
      <c r="E635" s="74" t="s">
        <v>31</v>
      </c>
      <c r="F635" s="80">
        <v>40.548422467680474</v>
      </c>
    </row>
    <row r="636">
      <c r="A636" s="76">
        <v>57.0</v>
      </c>
      <c r="B636" s="74" t="s">
        <v>92</v>
      </c>
      <c r="C636" s="74" t="s">
        <v>190</v>
      </c>
      <c r="D636" s="74" t="s">
        <v>30</v>
      </c>
      <c r="E636" s="74" t="s">
        <v>79</v>
      </c>
      <c r="F636" s="77">
        <v>37.658422467680474</v>
      </c>
    </row>
    <row r="637">
      <c r="A637" s="76">
        <v>25.0</v>
      </c>
      <c r="B637" s="74" t="s">
        <v>154</v>
      </c>
      <c r="C637" s="74" t="s">
        <v>155</v>
      </c>
      <c r="D637" s="74" t="s">
        <v>30</v>
      </c>
      <c r="E637" s="74" t="s">
        <v>91</v>
      </c>
      <c r="F637" s="80">
        <v>3.2084224676804736</v>
      </c>
    </row>
    <row r="638">
      <c r="A638" s="76">
        <v>53.0</v>
      </c>
      <c r="B638" s="74" t="s">
        <v>241</v>
      </c>
      <c r="C638" s="74" t="s">
        <v>242</v>
      </c>
      <c r="D638" s="74" t="s">
        <v>30</v>
      </c>
      <c r="E638" s="74" t="s">
        <v>97</v>
      </c>
      <c r="F638" s="77">
        <v>2.1684224676804735</v>
      </c>
    </row>
    <row r="639">
      <c r="A639" s="76">
        <v>76.0</v>
      </c>
      <c r="B639" s="74" t="s">
        <v>213</v>
      </c>
      <c r="C639" s="74" t="s">
        <v>214</v>
      </c>
      <c r="D639" s="74" t="s">
        <v>30</v>
      </c>
      <c r="E639" s="74" t="s">
        <v>82</v>
      </c>
      <c r="F639" s="80">
        <v>10.898422467680474</v>
      </c>
    </row>
    <row r="640">
      <c r="A640" s="76">
        <v>45.0</v>
      </c>
      <c r="B640" s="74" t="s">
        <v>221</v>
      </c>
      <c r="C640" s="74" t="s">
        <v>222</v>
      </c>
      <c r="D640" s="74" t="s">
        <v>11</v>
      </c>
      <c r="E640" s="74" t="s">
        <v>46</v>
      </c>
      <c r="F640" s="77">
        <v>13.468422467680472</v>
      </c>
    </row>
    <row r="641">
      <c r="A641" s="76">
        <v>45.0</v>
      </c>
      <c r="B641" s="74" t="s">
        <v>221</v>
      </c>
      <c r="C641" s="74" t="s">
        <v>222</v>
      </c>
      <c r="D641" s="74" t="s">
        <v>11</v>
      </c>
      <c r="E641" s="74" t="s">
        <v>68</v>
      </c>
      <c r="F641" s="80">
        <v>10.978422467680472</v>
      </c>
    </row>
    <row r="642">
      <c r="A642" s="76">
        <v>73.0</v>
      </c>
      <c r="B642" s="74" t="s">
        <v>223</v>
      </c>
      <c r="C642" s="74" t="s">
        <v>224</v>
      </c>
      <c r="D642" s="74" t="s">
        <v>30</v>
      </c>
      <c r="E642" s="74" t="s">
        <v>52</v>
      </c>
      <c r="F642" s="77">
        <v>58.10842246768048</v>
      </c>
    </row>
    <row r="643">
      <c r="A643" s="76">
        <v>44.0</v>
      </c>
      <c r="B643" s="74" t="s">
        <v>215</v>
      </c>
      <c r="C643" s="74" t="s">
        <v>216</v>
      </c>
      <c r="D643" s="74" t="s">
        <v>30</v>
      </c>
      <c r="E643" s="74" t="s">
        <v>31</v>
      </c>
      <c r="F643" s="80">
        <v>36.60842246768048</v>
      </c>
    </row>
    <row r="644">
      <c r="A644" s="76">
        <v>86.0</v>
      </c>
      <c r="B644" s="74" t="s">
        <v>62</v>
      </c>
      <c r="C644" s="74" t="s">
        <v>63</v>
      </c>
      <c r="D644" s="74" t="s">
        <v>30</v>
      </c>
      <c r="E644" s="74" t="s">
        <v>72</v>
      </c>
      <c r="F644" s="77">
        <v>17.968422467680476</v>
      </c>
    </row>
    <row r="645">
      <c r="A645" s="76">
        <v>90.0</v>
      </c>
      <c r="B645" s="74" t="s">
        <v>219</v>
      </c>
      <c r="C645" s="74" t="s">
        <v>220</v>
      </c>
      <c r="D645" s="74" t="s">
        <v>30</v>
      </c>
      <c r="E645" s="74" t="s">
        <v>52</v>
      </c>
      <c r="F645" s="80">
        <v>67.29842246768047</v>
      </c>
    </row>
    <row r="646">
      <c r="A646" s="76">
        <v>62.0</v>
      </c>
      <c r="B646" s="74" t="s">
        <v>156</v>
      </c>
      <c r="C646" s="74" t="s">
        <v>157</v>
      </c>
      <c r="D646" s="74" t="s">
        <v>11</v>
      </c>
      <c r="E646" s="74" t="s">
        <v>31</v>
      </c>
      <c r="F646" s="77">
        <v>50.938422467680475</v>
      </c>
    </row>
    <row r="647">
      <c r="A647" s="76">
        <v>88.0</v>
      </c>
      <c r="B647" s="74" t="s">
        <v>200</v>
      </c>
      <c r="C647" s="74" t="s">
        <v>206</v>
      </c>
      <c r="D647" s="74" t="s">
        <v>30</v>
      </c>
      <c r="E647" s="74" t="s">
        <v>35</v>
      </c>
      <c r="F647" s="80">
        <v>10.618422467680473</v>
      </c>
    </row>
    <row r="648">
      <c r="A648" s="76">
        <v>65.0</v>
      </c>
      <c r="B648" s="74" t="s">
        <v>209</v>
      </c>
      <c r="C648" s="74" t="s">
        <v>210</v>
      </c>
      <c r="D648" s="74" t="s">
        <v>11</v>
      </c>
      <c r="E648" s="74" t="s">
        <v>82</v>
      </c>
      <c r="F648" s="77">
        <v>12.338422467680473</v>
      </c>
    </row>
    <row r="649">
      <c r="A649" s="76">
        <v>62.0</v>
      </c>
      <c r="B649" s="74" t="s">
        <v>156</v>
      </c>
      <c r="C649" s="74" t="s">
        <v>157</v>
      </c>
      <c r="D649" s="74" t="s">
        <v>30</v>
      </c>
      <c r="E649" s="74" t="s">
        <v>50</v>
      </c>
      <c r="F649" s="80">
        <v>24.558422467680476</v>
      </c>
    </row>
    <row r="650">
      <c r="A650" s="76">
        <v>87.0</v>
      </c>
      <c r="B650" s="74" t="s">
        <v>243</v>
      </c>
      <c r="C650" s="74" t="s">
        <v>244</v>
      </c>
      <c r="D650" s="74" t="s">
        <v>11</v>
      </c>
      <c r="E650" s="74" t="s">
        <v>88</v>
      </c>
      <c r="F650" s="77">
        <v>40.38842246768048</v>
      </c>
    </row>
    <row r="651">
      <c r="A651" s="76">
        <v>37.0</v>
      </c>
      <c r="B651" s="74" t="s">
        <v>245</v>
      </c>
      <c r="C651" s="74" t="s">
        <v>246</v>
      </c>
      <c r="D651" s="74" t="s">
        <v>11</v>
      </c>
      <c r="E651" s="74" t="s">
        <v>31</v>
      </c>
      <c r="F651" s="80">
        <v>46.59842246768047</v>
      </c>
    </row>
    <row r="652">
      <c r="A652" s="76">
        <v>22.0</v>
      </c>
      <c r="B652" s="74" t="s">
        <v>131</v>
      </c>
      <c r="C652" s="74" t="s">
        <v>132</v>
      </c>
      <c r="D652" s="74" t="s">
        <v>11</v>
      </c>
      <c r="E652" s="74" t="s">
        <v>46</v>
      </c>
      <c r="F652" s="77">
        <v>11.858422467680473</v>
      </c>
    </row>
    <row r="653">
      <c r="A653" s="76">
        <v>31.0</v>
      </c>
      <c r="B653" s="74" t="s">
        <v>229</v>
      </c>
      <c r="C653" s="74" t="s">
        <v>230</v>
      </c>
      <c r="D653" s="74" t="s">
        <v>11</v>
      </c>
      <c r="E653" s="74" t="s">
        <v>72</v>
      </c>
      <c r="F653" s="80">
        <v>18.118422467680475</v>
      </c>
    </row>
    <row r="654">
      <c r="A654" s="76">
        <v>73.0</v>
      </c>
      <c r="B654" s="74" t="s">
        <v>223</v>
      </c>
      <c r="C654" s="74" t="s">
        <v>224</v>
      </c>
      <c r="D654" s="74" t="s">
        <v>11</v>
      </c>
      <c r="E654" s="74" t="s">
        <v>68</v>
      </c>
      <c r="F654" s="77">
        <v>11.658422467680474</v>
      </c>
    </row>
    <row r="655">
      <c r="A655" s="76">
        <v>12.0</v>
      </c>
      <c r="B655" s="74" t="s">
        <v>188</v>
      </c>
      <c r="C655" s="74" t="s">
        <v>189</v>
      </c>
      <c r="D655" s="74" t="s">
        <v>11</v>
      </c>
      <c r="E655" s="74" t="s">
        <v>82</v>
      </c>
      <c r="F655" s="80">
        <v>10.198422467680473</v>
      </c>
    </row>
    <row r="656">
      <c r="A656" s="76">
        <v>46.0</v>
      </c>
      <c r="B656" s="74" t="s">
        <v>143</v>
      </c>
      <c r="C656" s="74" t="s">
        <v>144</v>
      </c>
      <c r="D656" s="74" t="s">
        <v>30</v>
      </c>
      <c r="E656" s="74" t="s">
        <v>39</v>
      </c>
      <c r="F656" s="77">
        <v>17.268422467680473</v>
      </c>
    </row>
    <row r="657">
      <c r="A657" s="76">
        <v>46.0</v>
      </c>
      <c r="B657" s="74" t="s">
        <v>143</v>
      </c>
      <c r="C657" s="74" t="s">
        <v>144</v>
      </c>
      <c r="D657" s="74" t="s">
        <v>30</v>
      </c>
      <c r="E657" s="74" t="s">
        <v>72</v>
      </c>
      <c r="F657" s="80">
        <v>14.098422467680473</v>
      </c>
    </row>
    <row r="658">
      <c r="A658" s="76">
        <v>43.0</v>
      </c>
      <c r="B658" s="74" t="s">
        <v>95</v>
      </c>
      <c r="C658" s="74" t="s">
        <v>96</v>
      </c>
      <c r="D658" s="74" t="s">
        <v>30</v>
      </c>
      <c r="E658" s="74" t="s">
        <v>43</v>
      </c>
      <c r="F658" s="77">
        <v>12.698422467680473</v>
      </c>
    </row>
    <row r="659">
      <c r="A659" s="76">
        <v>84.0</v>
      </c>
      <c r="B659" s="74" t="s">
        <v>141</v>
      </c>
      <c r="C659" s="74" t="s">
        <v>142</v>
      </c>
      <c r="D659" s="74" t="s">
        <v>11</v>
      </c>
      <c r="E659" s="74" t="s">
        <v>52</v>
      </c>
      <c r="F659" s="80">
        <v>61.228422467680474</v>
      </c>
    </row>
    <row r="660">
      <c r="A660" s="76">
        <v>89.0</v>
      </c>
      <c r="B660" s="74" t="s">
        <v>135</v>
      </c>
      <c r="C660" s="74" t="s">
        <v>136</v>
      </c>
      <c r="D660" s="74" t="s">
        <v>30</v>
      </c>
      <c r="E660" s="74" t="s">
        <v>76</v>
      </c>
      <c r="F660" s="77">
        <v>10.708422467680473</v>
      </c>
    </row>
    <row r="661">
      <c r="A661" s="76">
        <v>80.0</v>
      </c>
      <c r="B661" s="74" t="s">
        <v>37</v>
      </c>
      <c r="C661" s="74" t="s">
        <v>38</v>
      </c>
      <c r="D661" s="74" t="s">
        <v>11</v>
      </c>
      <c r="E661" s="74" t="s">
        <v>72</v>
      </c>
      <c r="F661" s="80">
        <v>20.898422467680476</v>
      </c>
    </row>
    <row r="662">
      <c r="A662" s="76">
        <v>9.0</v>
      </c>
      <c r="B662" s="74" t="s">
        <v>207</v>
      </c>
      <c r="C662" s="74" t="s">
        <v>208</v>
      </c>
      <c r="D662" s="74" t="s">
        <v>11</v>
      </c>
      <c r="E662" s="74" t="s">
        <v>79</v>
      </c>
      <c r="F662" s="77">
        <v>34.538422467680476</v>
      </c>
    </row>
    <row r="663">
      <c r="A663" s="76">
        <v>7.0</v>
      </c>
      <c r="B663" s="74" t="s">
        <v>114</v>
      </c>
      <c r="C663" s="74" t="s">
        <v>115</v>
      </c>
      <c r="D663" s="74" t="s">
        <v>30</v>
      </c>
      <c r="E663" s="74" t="s">
        <v>94</v>
      </c>
      <c r="F663" s="80">
        <v>31.108422467680477</v>
      </c>
    </row>
    <row r="664">
      <c r="A664" s="76">
        <v>82.0</v>
      </c>
      <c r="B664" s="74" t="s">
        <v>231</v>
      </c>
      <c r="C664" s="74" t="s">
        <v>232</v>
      </c>
      <c r="D664" s="74" t="s">
        <v>11</v>
      </c>
      <c r="E664" s="74" t="s">
        <v>68</v>
      </c>
      <c r="F664" s="77">
        <v>18.318422467680474</v>
      </c>
    </row>
    <row r="665">
      <c r="A665" s="76">
        <v>54.0</v>
      </c>
      <c r="B665" s="74" t="s">
        <v>86</v>
      </c>
      <c r="C665" s="74" t="s">
        <v>87</v>
      </c>
      <c r="D665" s="74" t="s">
        <v>11</v>
      </c>
      <c r="E665" s="74" t="s">
        <v>52</v>
      </c>
      <c r="F665" s="80">
        <v>45.83842246768047</v>
      </c>
    </row>
    <row r="666">
      <c r="A666" s="76">
        <v>28.0</v>
      </c>
      <c r="B666" s="74" t="s">
        <v>77</v>
      </c>
      <c r="C666" s="74" t="s">
        <v>78</v>
      </c>
      <c r="D666" s="74" t="s">
        <v>30</v>
      </c>
      <c r="E666" s="74" t="s">
        <v>12</v>
      </c>
      <c r="F666" s="77">
        <v>9.288422467680473</v>
      </c>
    </row>
    <row r="667">
      <c r="A667" s="76">
        <v>65.0</v>
      </c>
      <c r="B667" s="74" t="s">
        <v>209</v>
      </c>
      <c r="C667" s="74" t="s">
        <v>210</v>
      </c>
      <c r="D667" s="74" t="s">
        <v>11</v>
      </c>
      <c r="E667" s="74" t="s">
        <v>85</v>
      </c>
      <c r="F667" s="80">
        <v>14.668422467680474</v>
      </c>
    </row>
    <row r="668">
      <c r="A668" s="76">
        <v>78.0</v>
      </c>
      <c r="B668" s="74" t="s">
        <v>28</v>
      </c>
      <c r="C668" s="74" t="s">
        <v>29</v>
      </c>
      <c r="D668" s="74" t="s">
        <v>30</v>
      </c>
      <c r="E668" s="74" t="s">
        <v>68</v>
      </c>
      <c r="F668" s="77">
        <v>16.228422467680474</v>
      </c>
    </row>
    <row r="669">
      <c r="A669" s="76">
        <v>45.0</v>
      </c>
      <c r="B669" s="74" t="s">
        <v>221</v>
      </c>
      <c r="C669" s="74" t="s">
        <v>222</v>
      </c>
      <c r="D669" s="74" t="s">
        <v>30</v>
      </c>
      <c r="E669" s="74" t="s">
        <v>68</v>
      </c>
      <c r="F669" s="80">
        <v>13.388422467680472</v>
      </c>
    </row>
    <row r="670">
      <c r="A670" s="76">
        <v>95.0</v>
      </c>
      <c r="B670" s="74" t="s">
        <v>110</v>
      </c>
      <c r="C670" s="74" t="s">
        <v>111</v>
      </c>
      <c r="D670" s="74" t="s">
        <v>11</v>
      </c>
      <c r="E670" s="74" t="s">
        <v>91</v>
      </c>
      <c r="F670" s="77">
        <v>2.688422467680474</v>
      </c>
    </row>
    <row r="671">
      <c r="A671" s="76">
        <v>67.0</v>
      </c>
      <c r="B671" s="74" t="s">
        <v>204</v>
      </c>
      <c r="C671" s="74" t="s">
        <v>205</v>
      </c>
      <c r="D671" s="74" t="s">
        <v>11</v>
      </c>
      <c r="E671" s="74" t="s">
        <v>31</v>
      </c>
      <c r="F671" s="80">
        <v>38.30842246768047</v>
      </c>
    </row>
    <row r="672">
      <c r="A672" s="76">
        <v>33.0</v>
      </c>
      <c r="B672" s="74" t="s">
        <v>191</v>
      </c>
      <c r="C672" s="74" t="s">
        <v>192</v>
      </c>
      <c r="D672" s="74" t="s">
        <v>30</v>
      </c>
      <c r="E672" s="74" t="s">
        <v>46</v>
      </c>
      <c r="F672" s="77">
        <v>13.018422467680473</v>
      </c>
    </row>
    <row r="673">
      <c r="A673" s="76">
        <v>28.0</v>
      </c>
      <c r="B673" s="74" t="s">
        <v>77</v>
      </c>
      <c r="C673" s="74" t="s">
        <v>78</v>
      </c>
      <c r="D673" s="74" t="s">
        <v>11</v>
      </c>
      <c r="E673" s="74" t="s">
        <v>60</v>
      </c>
      <c r="F673" s="80">
        <v>57.12842246768047</v>
      </c>
    </row>
    <row r="674">
      <c r="A674" s="76">
        <v>41.0</v>
      </c>
      <c r="B674" s="74" t="s">
        <v>217</v>
      </c>
      <c r="C674" s="74" t="s">
        <v>218</v>
      </c>
      <c r="D674" s="74" t="s">
        <v>30</v>
      </c>
      <c r="E674" s="74" t="s">
        <v>68</v>
      </c>
      <c r="F674" s="77">
        <v>7.098422467680474</v>
      </c>
    </row>
    <row r="675">
      <c r="A675" s="76">
        <v>69.0</v>
      </c>
      <c r="B675" s="74" t="s">
        <v>108</v>
      </c>
      <c r="C675" s="74" t="s">
        <v>145</v>
      </c>
      <c r="D675" s="74" t="s">
        <v>30</v>
      </c>
      <c r="E675" s="74" t="s">
        <v>50</v>
      </c>
      <c r="F675" s="80">
        <v>31.058422467680472</v>
      </c>
    </row>
    <row r="676">
      <c r="A676" s="76">
        <v>73.0</v>
      </c>
      <c r="B676" s="74" t="s">
        <v>223</v>
      </c>
      <c r="C676" s="74" t="s">
        <v>224</v>
      </c>
      <c r="D676" s="74" t="s">
        <v>30</v>
      </c>
      <c r="E676" s="74" t="s">
        <v>56</v>
      </c>
      <c r="F676" s="77">
        <v>58.33842246768047</v>
      </c>
    </row>
    <row r="677">
      <c r="A677" s="76">
        <v>57.0</v>
      </c>
      <c r="B677" s="74" t="s">
        <v>92</v>
      </c>
      <c r="C677" s="74" t="s">
        <v>190</v>
      </c>
      <c r="D677" s="74" t="s">
        <v>30</v>
      </c>
      <c r="E677" s="74" t="s">
        <v>12</v>
      </c>
      <c r="F677" s="80">
        <v>9.488422467680474</v>
      </c>
    </row>
    <row r="678">
      <c r="A678" s="76">
        <v>65.0</v>
      </c>
      <c r="B678" s="74" t="s">
        <v>209</v>
      </c>
      <c r="C678" s="74" t="s">
        <v>210</v>
      </c>
      <c r="D678" s="74" t="s">
        <v>11</v>
      </c>
      <c r="E678" s="74" t="s">
        <v>88</v>
      </c>
      <c r="F678" s="77">
        <v>32.76842246768047</v>
      </c>
    </row>
    <row r="679">
      <c r="A679" s="76">
        <v>42.0</v>
      </c>
      <c r="B679" s="74" t="s">
        <v>92</v>
      </c>
      <c r="C679" s="74" t="s">
        <v>170</v>
      </c>
      <c r="D679" s="74" t="s">
        <v>30</v>
      </c>
      <c r="E679" s="74" t="s">
        <v>60</v>
      </c>
      <c r="F679" s="80">
        <v>53.658422467680474</v>
      </c>
    </row>
    <row r="680">
      <c r="A680" s="76">
        <v>89.0</v>
      </c>
      <c r="B680" s="74" t="s">
        <v>135</v>
      </c>
      <c r="C680" s="74" t="s">
        <v>136</v>
      </c>
      <c r="D680" s="74" t="s">
        <v>11</v>
      </c>
      <c r="E680" s="74" t="s">
        <v>50</v>
      </c>
      <c r="F680" s="77">
        <v>31.438422467680475</v>
      </c>
    </row>
    <row r="681">
      <c r="A681" s="76">
        <v>65.0</v>
      </c>
      <c r="B681" s="74" t="s">
        <v>209</v>
      </c>
      <c r="C681" s="74" t="s">
        <v>210</v>
      </c>
      <c r="D681" s="74" t="s">
        <v>11</v>
      </c>
      <c r="E681" s="74" t="s">
        <v>46</v>
      </c>
      <c r="F681" s="80">
        <v>11.748422467680474</v>
      </c>
    </row>
    <row r="682">
      <c r="A682" s="76">
        <v>9.0</v>
      </c>
      <c r="B682" s="74" t="s">
        <v>207</v>
      </c>
      <c r="C682" s="74" t="s">
        <v>208</v>
      </c>
      <c r="D682" s="74" t="s">
        <v>30</v>
      </c>
      <c r="E682" s="74" t="s">
        <v>72</v>
      </c>
      <c r="F682" s="77">
        <v>14.258422467680473</v>
      </c>
    </row>
    <row r="683">
      <c r="A683" s="76">
        <v>26.0</v>
      </c>
      <c r="B683" s="74" t="s">
        <v>211</v>
      </c>
      <c r="C683" s="74" t="s">
        <v>212</v>
      </c>
      <c r="D683" s="74" t="s">
        <v>30</v>
      </c>
      <c r="E683" s="74" t="s">
        <v>35</v>
      </c>
      <c r="F683" s="80">
        <v>13.368422467680473</v>
      </c>
    </row>
    <row r="684">
      <c r="A684" s="76">
        <v>96.0</v>
      </c>
      <c r="B684" s="74" t="s">
        <v>163</v>
      </c>
      <c r="C684" s="74" t="s">
        <v>164</v>
      </c>
      <c r="D684" s="74" t="s">
        <v>30</v>
      </c>
      <c r="E684" s="74" t="s">
        <v>79</v>
      </c>
      <c r="F684" s="77">
        <v>32.898422467680476</v>
      </c>
    </row>
    <row r="685">
      <c r="A685" s="76">
        <v>51.0</v>
      </c>
      <c r="B685" s="74" t="s">
        <v>233</v>
      </c>
      <c r="C685" s="74" t="s">
        <v>234</v>
      </c>
      <c r="D685" s="74" t="s">
        <v>11</v>
      </c>
      <c r="E685" s="74" t="s">
        <v>76</v>
      </c>
      <c r="F685" s="80">
        <v>9.628422467680473</v>
      </c>
    </row>
    <row r="686">
      <c r="A686" s="76">
        <v>14.0</v>
      </c>
      <c r="B686" s="74" t="s">
        <v>171</v>
      </c>
      <c r="C686" s="74" t="s">
        <v>172</v>
      </c>
      <c r="D686" s="74" t="s">
        <v>11</v>
      </c>
      <c r="E686" s="74" t="s">
        <v>56</v>
      </c>
      <c r="F686" s="77">
        <v>74.87842246768047</v>
      </c>
    </row>
    <row r="687">
      <c r="A687" s="76">
        <v>76.0</v>
      </c>
      <c r="B687" s="74" t="s">
        <v>213</v>
      </c>
      <c r="C687" s="74" t="s">
        <v>214</v>
      </c>
      <c r="D687" s="74" t="s">
        <v>11</v>
      </c>
      <c r="E687" s="74" t="s">
        <v>52</v>
      </c>
      <c r="F687" s="80">
        <v>63.88842246768048</v>
      </c>
    </row>
    <row r="688">
      <c r="A688" s="76">
        <v>82.0</v>
      </c>
      <c r="B688" s="74" t="s">
        <v>231</v>
      </c>
      <c r="C688" s="74" t="s">
        <v>232</v>
      </c>
      <c r="D688" s="74" t="s">
        <v>11</v>
      </c>
      <c r="E688" s="74" t="s">
        <v>91</v>
      </c>
      <c r="F688" s="77">
        <v>2.308422467680474</v>
      </c>
    </row>
    <row r="689">
      <c r="A689" s="76">
        <v>91.0</v>
      </c>
      <c r="B689" s="74" t="s">
        <v>112</v>
      </c>
      <c r="C689" s="74" t="s">
        <v>113</v>
      </c>
      <c r="D689" s="74" t="s">
        <v>11</v>
      </c>
      <c r="E689" s="74" t="s">
        <v>56</v>
      </c>
      <c r="F689" s="80">
        <v>69.94842246768047</v>
      </c>
    </row>
    <row r="690">
      <c r="A690" s="76">
        <v>33.0</v>
      </c>
      <c r="B690" s="74" t="s">
        <v>191</v>
      </c>
      <c r="C690" s="74" t="s">
        <v>192</v>
      </c>
      <c r="D690" s="74" t="s">
        <v>30</v>
      </c>
      <c r="E690" s="74" t="s">
        <v>82</v>
      </c>
      <c r="F690" s="77">
        <v>11.348422467680473</v>
      </c>
    </row>
    <row r="691">
      <c r="A691" s="76">
        <v>45.0</v>
      </c>
      <c r="B691" s="74" t="s">
        <v>221</v>
      </c>
      <c r="C691" s="74" t="s">
        <v>222</v>
      </c>
      <c r="D691" s="74" t="s">
        <v>11</v>
      </c>
      <c r="E691" s="74" t="s">
        <v>88</v>
      </c>
      <c r="F691" s="80">
        <v>39.968422467680476</v>
      </c>
    </row>
    <row r="692">
      <c r="A692" s="76">
        <v>11.0</v>
      </c>
      <c r="B692" s="74" t="s">
        <v>227</v>
      </c>
      <c r="C692" s="74" t="s">
        <v>228</v>
      </c>
      <c r="D692" s="74" t="s">
        <v>11</v>
      </c>
      <c r="E692" s="74" t="s">
        <v>60</v>
      </c>
      <c r="F692" s="77">
        <v>45.258422467680475</v>
      </c>
    </row>
    <row r="693">
      <c r="A693" s="76">
        <v>25.0</v>
      </c>
      <c r="B693" s="74" t="s">
        <v>154</v>
      </c>
      <c r="C693" s="74" t="s">
        <v>155</v>
      </c>
      <c r="D693" s="74" t="s">
        <v>11</v>
      </c>
      <c r="E693" s="74" t="s">
        <v>88</v>
      </c>
      <c r="F693" s="80">
        <v>40.56842246768048</v>
      </c>
    </row>
    <row r="694">
      <c r="A694" s="76">
        <v>18.0</v>
      </c>
      <c r="B694" s="74" t="s">
        <v>163</v>
      </c>
      <c r="C694" s="74" t="s">
        <v>240</v>
      </c>
      <c r="D694" s="74" t="s">
        <v>30</v>
      </c>
      <c r="E694" s="74" t="s">
        <v>82</v>
      </c>
      <c r="F694" s="77">
        <v>10.488422467680474</v>
      </c>
    </row>
    <row r="695">
      <c r="A695" s="76">
        <v>33.0</v>
      </c>
      <c r="B695" s="74" t="s">
        <v>191</v>
      </c>
      <c r="C695" s="74" t="s">
        <v>192</v>
      </c>
      <c r="D695" s="74" t="s">
        <v>30</v>
      </c>
      <c r="E695" s="74" t="s">
        <v>82</v>
      </c>
      <c r="F695" s="80">
        <v>9.708422467680473</v>
      </c>
    </row>
    <row r="696">
      <c r="A696" s="76">
        <v>64.0</v>
      </c>
      <c r="B696" s="74" t="s">
        <v>159</v>
      </c>
      <c r="C696" s="74" t="s">
        <v>160</v>
      </c>
      <c r="D696" s="74" t="s">
        <v>30</v>
      </c>
      <c r="E696" s="74" t="s">
        <v>88</v>
      </c>
      <c r="F696" s="77">
        <v>35.91842246768047</v>
      </c>
    </row>
    <row r="697">
      <c r="A697" s="76">
        <v>21.0</v>
      </c>
      <c r="B697" s="74" t="s">
        <v>186</v>
      </c>
      <c r="C697" s="74" t="s">
        <v>187</v>
      </c>
      <c r="D697" s="74" t="s">
        <v>11</v>
      </c>
      <c r="E697" s="74" t="s">
        <v>60</v>
      </c>
      <c r="F697" s="80">
        <v>50.24842246768048</v>
      </c>
    </row>
    <row r="698">
      <c r="A698" s="76">
        <v>33.0</v>
      </c>
      <c r="B698" s="74" t="s">
        <v>191</v>
      </c>
      <c r="C698" s="74" t="s">
        <v>192</v>
      </c>
      <c r="D698" s="74" t="s">
        <v>11</v>
      </c>
      <c r="E698" s="74" t="s">
        <v>97</v>
      </c>
      <c r="F698" s="77">
        <v>3.0384224676804736</v>
      </c>
    </row>
    <row r="699">
      <c r="A699" s="76">
        <v>60.0</v>
      </c>
      <c r="B699" s="74" t="s">
        <v>65</v>
      </c>
      <c r="C699" s="74" t="s">
        <v>66</v>
      </c>
      <c r="D699" s="74" t="s">
        <v>11</v>
      </c>
      <c r="E699" s="74" t="s">
        <v>12</v>
      </c>
      <c r="F699" s="80">
        <v>9.748422467680474</v>
      </c>
    </row>
    <row r="700">
      <c r="A700" s="76">
        <v>34.0</v>
      </c>
      <c r="B700" s="74" t="s">
        <v>177</v>
      </c>
      <c r="C700" s="74" t="s">
        <v>178</v>
      </c>
      <c r="D700" s="74" t="s">
        <v>30</v>
      </c>
      <c r="E700" s="74" t="s">
        <v>72</v>
      </c>
      <c r="F700" s="77">
        <v>22.838422467680473</v>
      </c>
    </row>
    <row r="701">
      <c r="A701" s="76">
        <v>3.0</v>
      </c>
      <c r="B701" s="74" t="s">
        <v>80</v>
      </c>
      <c r="C701" s="74" t="s">
        <v>81</v>
      </c>
      <c r="D701" s="74" t="s">
        <v>11</v>
      </c>
      <c r="E701" s="74" t="s">
        <v>39</v>
      </c>
      <c r="F701" s="80">
        <v>31.608422467680477</v>
      </c>
    </row>
    <row r="702">
      <c r="A702" s="76">
        <v>70.0</v>
      </c>
      <c r="B702" s="74" t="s">
        <v>152</v>
      </c>
      <c r="C702" s="74" t="s">
        <v>153</v>
      </c>
      <c r="D702" s="74" t="s">
        <v>11</v>
      </c>
      <c r="E702" s="74" t="s">
        <v>88</v>
      </c>
      <c r="F702" s="77">
        <v>31.648422467680476</v>
      </c>
    </row>
    <row r="703">
      <c r="A703" s="76">
        <v>44.0</v>
      </c>
      <c r="B703" s="74" t="s">
        <v>215</v>
      </c>
      <c r="C703" s="74" t="s">
        <v>216</v>
      </c>
      <c r="D703" s="74" t="s">
        <v>11</v>
      </c>
      <c r="E703" s="74" t="s">
        <v>50</v>
      </c>
      <c r="F703" s="80">
        <v>21.688422467680475</v>
      </c>
    </row>
    <row r="704">
      <c r="A704" s="76">
        <v>31.0</v>
      </c>
      <c r="B704" s="74" t="s">
        <v>229</v>
      </c>
      <c r="C704" s="74" t="s">
        <v>230</v>
      </c>
      <c r="D704" s="74" t="s">
        <v>30</v>
      </c>
      <c r="E704" s="74" t="s">
        <v>46</v>
      </c>
      <c r="F704" s="77">
        <v>10.768422467680473</v>
      </c>
    </row>
    <row r="705">
      <c r="A705" s="76">
        <v>56.0</v>
      </c>
      <c r="B705" s="74" t="s">
        <v>127</v>
      </c>
      <c r="C705" s="74" t="s">
        <v>128</v>
      </c>
      <c r="D705" s="74" t="s">
        <v>30</v>
      </c>
      <c r="E705" s="74" t="s">
        <v>60</v>
      </c>
      <c r="F705" s="80">
        <v>48.908422467680474</v>
      </c>
    </row>
    <row r="706">
      <c r="A706" s="76">
        <v>53.0</v>
      </c>
      <c r="B706" s="74" t="s">
        <v>241</v>
      </c>
      <c r="C706" s="74" t="s">
        <v>242</v>
      </c>
      <c r="D706" s="74" t="s">
        <v>11</v>
      </c>
      <c r="E706" s="74" t="s">
        <v>46</v>
      </c>
      <c r="F706" s="77">
        <v>13.158422467680474</v>
      </c>
    </row>
    <row r="707">
      <c r="A707" s="76">
        <v>76.0</v>
      </c>
      <c r="B707" s="74" t="s">
        <v>213</v>
      </c>
      <c r="C707" s="74" t="s">
        <v>214</v>
      </c>
      <c r="D707" s="74" t="s">
        <v>11</v>
      </c>
      <c r="E707" s="74" t="s">
        <v>72</v>
      </c>
      <c r="F707" s="80">
        <v>21.858422467680477</v>
      </c>
    </row>
    <row r="708">
      <c r="A708" s="76">
        <v>2.0</v>
      </c>
      <c r="B708" s="74" t="s">
        <v>83</v>
      </c>
      <c r="C708" s="74" t="s">
        <v>84</v>
      </c>
      <c r="D708" s="74" t="s">
        <v>30</v>
      </c>
      <c r="E708" s="74" t="s">
        <v>50</v>
      </c>
      <c r="F708" s="77">
        <v>20.268422467680473</v>
      </c>
    </row>
    <row r="709">
      <c r="A709" s="76">
        <v>9.0</v>
      </c>
      <c r="B709" s="74" t="s">
        <v>207</v>
      </c>
      <c r="C709" s="74" t="s">
        <v>208</v>
      </c>
      <c r="D709" s="74" t="s">
        <v>11</v>
      </c>
      <c r="E709" s="74" t="s">
        <v>12</v>
      </c>
      <c r="F709" s="80">
        <v>9.648422467680474</v>
      </c>
    </row>
    <row r="710">
      <c r="A710" s="76">
        <v>59.0</v>
      </c>
      <c r="B710" s="74" t="s">
        <v>103</v>
      </c>
      <c r="C710" s="74" t="s">
        <v>104</v>
      </c>
      <c r="D710" s="74" t="s">
        <v>11</v>
      </c>
      <c r="E710" s="74" t="s">
        <v>97</v>
      </c>
      <c r="F710" s="77">
        <v>1.4884224676804736</v>
      </c>
    </row>
    <row r="711">
      <c r="A711" s="76">
        <v>100.0</v>
      </c>
      <c r="B711" s="74" t="s">
        <v>48</v>
      </c>
      <c r="C711" s="74" t="s">
        <v>49</v>
      </c>
      <c r="D711" s="74" t="s">
        <v>30</v>
      </c>
      <c r="E711" s="74" t="s">
        <v>46</v>
      </c>
      <c r="F711" s="80">
        <v>13.588422467680473</v>
      </c>
    </row>
    <row r="712">
      <c r="A712" s="76">
        <v>49.0</v>
      </c>
      <c r="B712" s="74" t="s">
        <v>179</v>
      </c>
      <c r="C712" s="74" t="s">
        <v>180</v>
      </c>
      <c r="D712" s="74" t="s">
        <v>11</v>
      </c>
      <c r="E712" s="74" t="s">
        <v>97</v>
      </c>
      <c r="F712" s="77">
        <v>2.8384224676804735</v>
      </c>
    </row>
    <row r="713">
      <c r="A713" s="76">
        <v>7.0</v>
      </c>
      <c r="B713" s="74" t="s">
        <v>114</v>
      </c>
      <c r="C713" s="74" t="s">
        <v>115</v>
      </c>
      <c r="D713" s="74" t="s">
        <v>11</v>
      </c>
      <c r="E713" s="74" t="s">
        <v>88</v>
      </c>
      <c r="F713" s="80">
        <v>37.978422467680474</v>
      </c>
    </row>
    <row r="714">
      <c r="A714" s="76">
        <v>75.0</v>
      </c>
      <c r="B714" s="74" t="s">
        <v>238</v>
      </c>
      <c r="C714" s="74" t="s">
        <v>239</v>
      </c>
      <c r="D714" s="74" t="s">
        <v>11</v>
      </c>
      <c r="E714" s="74" t="s">
        <v>88</v>
      </c>
      <c r="F714" s="77">
        <v>40.60842246768048</v>
      </c>
    </row>
    <row r="715">
      <c r="A715" s="76">
        <v>19.0</v>
      </c>
      <c r="B715" s="74" t="s">
        <v>41</v>
      </c>
      <c r="C715" s="74" t="s">
        <v>193</v>
      </c>
      <c r="D715" s="74" t="s">
        <v>11</v>
      </c>
      <c r="E715" s="74" t="s">
        <v>88</v>
      </c>
      <c r="F715" s="80">
        <v>32.80842246768047</v>
      </c>
    </row>
    <row r="716">
      <c r="A716" s="76">
        <v>68.0</v>
      </c>
      <c r="B716" s="74" t="s">
        <v>41</v>
      </c>
      <c r="C716" s="74" t="s">
        <v>42</v>
      </c>
      <c r="D716" s="74" t="s">
        <v>11</v>
      </c>
      <c r="E716" s="74" t="s">
        <v>88</v>
      </c>
      <c r="F716" s="77">
        <v>34.17842246768048</v>
      </c>
    </row>
    <row r="717">
      <c r="A717" s="76">
        <v>18.0</v>
      </c>
      <c r="B717" s="74" t="s">
        <v>163</v>
      </c>
      <c r="C717" s="74" t="s">
        <v>240</v>
      </c>
      <c r="D717" s="74" t="s">
        <v>30</v>
      </c>
      <c r="E717" s="74" t="s">
        <v>85</v>
      </c>
      <c r="F717" s="80">
        <v>11.838422467680473</v>
      </c>
    </row>
    <row r="718">
      <c r="A718" s="76">
        <v>41.0</v>
      </c>
      <c r="B718" s="74" t="s">
        <v>217</v>
      </c>
      <c r="C718" s="74" t="s">
        <v>218</v>
      </c>
      <c r="D718" s="74" t="s">
        <v>30</v>
      </c>
      <c r="E718" s="74" t="s">
        <v>52</v>
      </c>
      <c r="F718" s="77">
        <v>63.81842246768047</v>
      </c>
    </row>
    <row r="719">
      <c r="A719" s="76">
        <v>12.0</v>
      </c>
      <c r="B719" s="74" t="s">
        <v>188</v>
      </c>
      <c r="C719" s="74" t="s">
        <v>189</v>
      </c>
      <c r="D719" s="74" t="s">
        <v>11</v>
      </c>
      <c r="E719" s="74" t="s">
        <v>68</v>
      </c>
      <c r="F719" s="80">
        <v>10.968422467680472</v>
      </c>
    </row>
    <row r="720">
      <c r="A720" s="76">
        <v>26.0</v>
      </c>
      <c r="B720" s="74" t="s">
        <v>211</v>
      </c>
      <c r="C720" s="74" t="s">
        <v>212</v>
      </c>
      <c r="D720" s="74" t="s">
        <v>11</v>
      </c>
      <c r="E720" s="74" t="s">
        <v>82</v>
      </c>
      <c r="F720" s="77">
        <v>13.898422467680474</v>
      </c>
    </row>
    <row r="721">
      <c r="A721" s="76">
        <v>29.0</v>
      </c>
      <c r="B721" s="74" t="s">
        <v>122</v>
      </c>
      <c r="C721" s="74" t="s">
        <v>123</v>
      </c>
      <c r="D721" s="74" t="s">
        <v>30</v>
      </c>
      <c r="E721" s="74" t="s">
        <v>60</v>
      </c>
      <c r="F721" s="80">
        <v>45.33842246768047</v>
      </c>
    </row>
    <row r="722">
      <c r="A722" s="76">
        <v>96.0</v>
      </c>
      <c r="B722" s="74" t="s">
        <v>163</v>
      </c>
      <c r="C722" s="74" t="s">
        <v>164</v>
      </c>
      <c r="D722" s="74" t="s">
        <v>30</v>
      </c>
      <c r="E722" s="74" t="s">
        <v>88</v>
      </c>
      <c r="F722" s="77">
        <v>30.928422467680473</v>
      </c>
    </row>
    <row r="723">
      <c r="A723" s="76">
        <v>44.0</v>
      </c>
      <c r="B723" s="74" t="s">
        <v>215</v>
      </c>
      <c r="C723" s="74" t="s">
        <v>216</v>
      </c>
      <c r="D723" s="74" t="s">
        <v>30</v>
      </c>
      <c r="E723" s="74" t="s">
        <v>82</v>
      </c>
      <c r="F723" s="80">
        <v>11.548422467680473</v>
      </c>
    </row>
    <row r="724">
      <c r="A724" s="76">
        <v>45.0</v>
      </c>
      <c r="B724" s="74" t="s">
        <v>221</v>
      </c>
      <c r="C724" s="74" t="s">
        <v>222</v>
      </c>
      <c r="D724" s="74" t="s">
        <v>30</v>
      </c>
      <c r="E724" s="74" t="s">
        <v>68</v>
      </c>
      <c r="F724" s="77">
        <v>8.868422467680473</v>
      </c>
    </row>
    <row r="725">
      <c r="A725" s="76">
        <v>35.0</v>
      </c>
      <c r="B725" s="74" t="s">
        <v>125</v>
      </c>
      <c r="C725" s="74" t="s">
        <v>126</v>
      </c>
      <c r="D725" s="74" t="s">
        <v>11</v>
      </c>
      <c r="E725" s="74" t="s">
        <v>97</v>
      </c>
      <c r="F725" s="80">
        <v>2.1684224676804735</v>
      </c>
    </row>
    <row r="726">
      <c r="A726" s="76">
        <v>13.0</v>
      </c>
      <c r="B726" s="74" t="s">
        <v>137</v>
      </c>
      <c r="C726" s="74" t="s">
        <v>138</v>
      </c>
      <c r="D726" s="74" t="s">
        <v>30</v>
      </c>
      <c r="E726" s="74" t="s">
        <v>52</v>
      </c>
      <c r="F726" s="77">
        <v>63.83842246768048</v>
      </c>
    </row>
    <row r="727">
      <c r="A727" s="76">
        <v>77.0</v>
      </c>
      <c r="B727" s="74" t="s">
        <v>9</v>
      </c>
      <c r="C727" s="74" t="s">
        <v>169</v>
      </c>
      <c r="D727" s="74" t="s">
        <v>30</v>
      </c>
      <c r="E727" s="74" t="s">
        <v>39</v>
      </c>
      <c r="F727" s="80">
        <v>30.178422467680473</v>
      </c>
    </row>
    <row r="728">
      <c r="A728" s="76">
        <v>51.0</v>
      </c>
      <c r="B728" s="74" t="s">
        <v>233</v>
      </c>
      <c r="C728" s="74" t="s">
        <v>234</v>
      </c>
      <c r="D728" s="74" t="s">
        <v>11</v>
      </c>
      <c r="E728" s="74" t="s">
        <v>52</v>
      </c>
      <c r="F728" s="77">
        <v>45.298422467680474</v>
      </c>
    </row>
    <row r="729">
      <c r="A729" s="76">
        <v>32.0</v>
      </c>
      <c r="B729" s="74" t="s">
        <v>146</v>
      </c>
      <c r="C729" s="74" t="s">
        <v>147</v>
      </c>
      <c r="D729" s="74" t="s">
        <v>11</v>
      </c>
      <c r="E729" s="74" t="s">
        <v>72</v>
      </c>
      <c r="F729" s="80">
        <v>22.318422467680474</v>
      </c>
    </row>
    <row r="730">
      <c r="A730" s="76">
        <v>64.0</v>
      </c>
      <c r="B730" s="74" t="s">
        <v>159</v>
      </c>
      <c r="C730" s="74" t="s">
        <v>160</v>
      </c>
      <c r="D730" s="74" t="s">
        <v>30</v>
      </c>
      <c r="E730" s="74" t="s">
        <v>85</v>
      </c>
      <c r="F730" s="77">
        <v>11.888422467680472</v>
      </c>
    </row>
    <row r="731">
      <c r="A731" s="76">
        <v>69.0</v>
      </c>
      <c r="B731" s="74" t="s">
        <v>108</v>
      </c>
      <c r="C731" s="74" t="s">
        <v>145</v>
      </c>
      <c r="D731" s="74" t="s">
        <v>11</v>
      </c>
      <c r="E731" s="74" t="s">
        <v>12</v>
      </c>
      <c r="F731" s="80">
        <v>9.648422467680474</v>
      </c>
    </row>
    <row r="732">
      <c r="A732" s="76">
        <v>74.0</v>
      </c>
      <c r="B732" s="74" t="s">
        <v>9</v>
      </c>
      <c r="C732" s="74" t="s">
        <v>124</v>
      </c>
      <c r="D732" s="74" t="s">
        <v>11</v>
      </c>
      <c r="E732" s="74" t="s">
        <v>56</v>
      </c>
      <c r="F732" s="77">
        <v>66.86842246768047</v>
      </c>
    </row>
    <row r="733">
      <c r="A733" s="76">
        <v>69.0</v>
      </c>
      <c r="B733" s="74" t="s">
        <v>108</v>
      </c>
      <c r="C733" s="74" t="s">
        <v>145</v>
      </c>
      <c r="D733" s="74" t="s">
        <v>30</v>
      </c>
      <c r="E733" s="74" t="s">
        <v>91</v>
      </c>
      <c r="F733" s="80">
        <v>0.3284224676804737</v>
      </c>
    </row>
    <row r="734">
      <c r="A734" s="76">
        <v>90.0</v>
      </c>
      <c r="B734" s="74" t="s">
        <v>219</v>
      </c>
      <c r="C734" s="74" t="s">
        <v>220</v>
      </c>
      <c r="D734" s="74" t="s">
        <v>30</v>
      </c>
      <c r="E734" s="74" t="s">
        <v>35</v>
      </c>
      <c r="F734" s="77">
        <v>20.118422467680475</v>
      </c>
    </row>
    <row r="735">
      <c r="A735" s="76">
        <v>27.0</v>
      </c>
      <c r="B735" s="74" t="s">
        <v>173</v>
      </c>
      <c r="C735" s="74" t="s">
        <v>174</v>
      </c>
      <c r="D735" s="74" t="s">
        <v>11</v>
      </c>
      <c r="E735" s="74" t="s">
        <v>31</v>
      </c>
      <c r="F735" s="80">
        <v>51.08842246768047</v>
      </c>
    </row>
    <row r="736">
      <c r="A736" s="76">
        <v>62.0</v>
      </c>
      <c r="B736" s="74" t="s">
        <v>156</v>
      </c>
      <c r="C736" s="74" t="s">
        <v>157</v>
      </c>
      <c r="D736" s="74" t="s">
        <v>11</v>
      </c>
      <c r="E736" s="74" t="s">
        <v>97</v>
      </c>
      <c r="F736" s="77">
        <v>1.8084224676804739</v>
      </c>
    </row>
    <row r="737">
      <c r="A737" s="76">
        <v>30.0</v>
      </c>
      <c r="B737" s="74" t="s">
        <v>9</v>
      </c>
      <c r="C737" s="74" t="s">
        <v>10</v>
      </c>
      <c r="D737" s="74" t="s">
        <v>30</v>
      </c>
      <c r="E737" s="74" t="s">
        <v>39</v>
      </c>
      <c r="F737" s="80">
        <v>37.798422467680474</v>
      </c>
    </row>
    <row r="738">
      <c r="A738" s="76">
        <v>13.0</v>
      </c>
      <c r="B738" s="74" t="s">
        <v>137</v>
      </c>
      <c r="C738" s="74" t="s">
        <v>138</v>
      </c>
      <c r="D738" s="74" t="s">
        <v>30</v>
      </c>
      <c r="E738" s="74" t="s">
        <v>88</v>
      </c>
      <c r="F738" s="77">
        <v>36.10842246768048</v>
      </c>
    </row>
    <row r="739">
      <c r="A739" s="76">
        <v>37.0</v>
      </c>
      <c r="B739" s="74" t="s">
        <v>245</v>
      </c>
      <c r="C739" s="74" t="s">
        <v>246</v>
      </c>
      <c r="D739" s="74" t="s">
        <v>11</v>
      </c>
      <c r="E739" s="74" t="s">
        <v>35</v>
      </c>
      <c r="F739" s="80">
        <v>17.728422467680474</v>
      </c>
    </row>
    <row r="740">
      <c r="A740" s="76">
        <v>35.0</v>
      </c>
      <c r="B740" s="74" t="s">
        <v>125</v>
      </c>
      <c r="C740" s="74" t="s">
        <v>126</v>
      </c>
      <c r="D740" s="74" t="s">
        <v>11</v>
      </c>
      <c r="E740" s="74" t="s">
        <v>91</v>
      </c>
      <c r="F740" s="77">
        <v>0.4584224676804738</v>
      </c>
    </row>
    <row r="741">
      <c r="A741" s="76">
        <v>44.0</v>
      </c>
      <c r="B741" s="74" t="s">
        <v>215</v>
      </c>
      <c r="C741" s="74" t="s">
        <v>216</v>
      </c>
      <c r="D741" s="74" t="s">
        <v>30</v>
      </c>
      <c r="E741" s="74" t="s">
        <v>35</v>
      </c>
      <c r="F741" s="80">
        <v>11.828422467680474</v>
      </c>
    </row>
    <row r="742">
      <c r="A742" s="76">
        <v>4.0</v>
      </c>
      <c r="B742" s="74" t="s">
        <v>118</v>
      </c>
      <c r="C742" s="74" t="s">
        <v>119</v>
      </c>
      <c r="D742" s="74" t="s">
        <v>30</v>
      </c>
      <c r="E742" s="74" t="s">
        <v>91</v>
      </c>
      <c r="F742" s="77">
        <v>1.1084224676804737</v>
      </c>
    </row>
    <row r="743">
      <c r="A743" s="76">
        <v>39.0</v>
      </c>
      <c r="B743" s="74" t="s">
        <v>89</v>
      </c>
      <c r="C743" s="74" t="s">
        <v>90</v>
      </c>
      <c r="D743" s="74" t="s">
        <v>30</v>
      </c>
      <c r="E743" s="74" t="s">
        <v>79</v>
      </c>
      <c r="F743" s="80">
        <v>29.188422467680475</v>
      </c>
    </row>
    <row r="744">
      <c r="A744" s="76">
        <v>94.0</v>
      </c>
      <c r="B744" s="74" t="s">
        <v>207</v>
      </c>
      <c r="C744" s="74" t="s">
        <v>237</v>
      </c>
      <c r="D744" s="74" t="s">
        <v>11</v>
      </c>
      <c r="E744" s="74" t="s">
        <v>31</v>
      </c>
      <c r="F744" s="77">
        <v>41.118422467680475</v>
      </c>
    </row>
    <row r="745">
      <c r="A745" s="76">
        <v>73.0</v>
      </c>
      <c r="B745" s="74" t="s">
        <v>223</v>
      </c>
      <c r="C745" s="74" t="s">
        <v>224</v>
      </c>
      <c r="D745" s="74" t="s">
        <v>11</v>
      </c>
      <c r="E745" s="74" t="s">
        <v>68</v>
      </c>
      <c r="F745" s="80">
        <v>15.258422467680473</v>
      </c>
    </row>
    <row r="746">
      <c r="A746" s="76">
        <v>15.0</v>
      </c>
      <c r="B746" s="74" t="s">
        <v>58</v>
      </c>
      <c r="C746" s="74" t="s">
        <v>59</v>
      </c>
      <c r="D746" s="74" t="s">
        <v>11</v>
      </c>
      <c r="E746" s="74" t="s">
        <v>43</v>
      </c>
      <c r="F746" s="77">
        <v>16.308422467680476</v>
      </c>
    </row>
    <row r="747">
      <c r="A747" s="76">
        <v>35.0</v>
      </c>
      <c r="B747" s="74" t="s">
        <v>125</v>
      </c>
      <c r="C747" s="74" t="s">
        <v>126</v>
      </c>
      <c r="D747" s="74" t="s">
        <v>11</v>
      </c>
      <c r="E747" s="74" t="s">
        <v>39</v>
      </c>
      <c r="F747" s="80">
        <v>23.288422467680476</v>
      </c>
    </row>
    <row r="748">
      <c r="A748" s="76">
        <v>25.0</v>
      </c>
      <c r="B748" s="74" t="s">
        <v>154</v>
      </c>
      <c r="C748" s="74" t="s">
        <v>155</v>
      </c>
      <c r="D748" s="74" t="s">
        <v>30</v>
      </c>
      <c r="E748" s="74" t="s">
        <v>94</v>
      </c>
      <c r="F748" s="77">
        <v>25.508422467680475</v>
      </c>
    </row>
    <row r="749">
      <c r="A749" s="76">
        <v>90.0</v>
      </c>
      <c r="B749" s="74" t="s">
        <v>219</v>
      </c>
      <c r="C749" s="74" t="s">
        <v>220</v>
      </c>
      <c r="D749" s="74" t="s">
        <v>30</v>
      </c>
      <c r="E749" s="74" t="s">
        <v>68</v>
      </c>
      <c r="F749" s="80">
        <v>12.208422467680473</v>
      </c>
    </row>
    <row r="750">
      <c r="A750" s="76">
        <v>85.0</v>
      </c>
      <c r="B750" s="74" t="s">
        <v>198</v>
      </c>
      <c r="C750" s="74" t="s">
        <v>199</v>
      </c>
      <c r="D750" s="74" t="s">
        <v>11</v>
      </c>
      <c r="E750" s="74" t="s">
        <v>50</v>
      </c>
      <c r="F750" s="77">
        <v>24.958422467680474</v>
      </c>
    </row>
    <row r="751">
      <c r="A751" s="76">
        <v>4.0</v>
      </c>
      <c r="B751" s="74" t="s">
        <v>118</v>
      </c>
      <c r="C751" s="74" t="s">
        <v>119</v>
      </c>
      <c r="D751" s="74" t="s">
        <v>11</v>
      </c>
      <c r="E751" s="74" t="s">
        <v>39</v>
      </c>
      <c r="F751" s="80">
        <v>38.34842246768047</v>
      </c>
    </row>
    <row r="752">
      <c r="A752" s="76">
        <v>39.0</v>
      </c>
      <c r="B752" s="74" t="s">
        <v>89</v>
      </c>
      <c r="C752" s="74" t="s">
        <v>90</v>
      </c>
      <c r="D752" s="74" t="s">
        <v>30</v>
      </c>
      <c r="E752" s="74" t="s">
        <v>39</v>
      </c>
      <c r="F752" s="77">
        <v>22.618422467680475</v>
      </c>
    </row>
    <row r="753">
      <c r="A753" s="76">
        <v>21.0</v>
      </c>
      <c r="B753" s="74" t="s">
        <v>186</v>
      </c>
      <c r="C753" s="74" t="s">
        <v>187</v>
      </c>
      <c r="D753" s="74" t="s">
        <v>30</v>
      </c>
      <c r="E753" s="74" t="s">
        <v>52</v>
      </c>
      <c r="F753" s="80">
        <v>45.51842246768047</v>
      </c>
    </row>
    <row r="754">
      <c r="A754" s="76">
        <v>88.0</v>
      </c>
      <c r="B754" s="74" t="s">
        <v>200</v>
      </c>
      <c r="C754" s="74" t="s">
        <v>206</v>
      </c>
      <c r="D754" s="74" t="s">
        <v>30</v>
      </c>
      <c r="E754" s="74" t="s">
        <v>39</v>
      </c>
      <c r="F754" s="77">
        <v>27.138422467680474</v>
      </c>
    </row>
    <row r="755">
      <c r="A755" s="76">
        <v>68.0</v>
      </c>
      <c r="B755" s="74" t="s">
        <v>41</v>
      </c>
      <c r="C755" s="74" t="s">
        <v>42</v>
      </c>
      <c r="D755" s="74" t="s">
        <v>11</v>
      </c>
      <c r="E755" s="74" t="s">
        <v>39</v>
      </c>
      <c r="F755" s="80">
        <v>31.478422467680474</v>
      </c>
    </row>
    <row r="756">
      <c r="A756" s="76">
        <v>17.0</v>
      </c>
      <c r="B756" s="74" t="s">
        <v>200</v>
      </c>
      <c r="C756" s="74" t="s">
        <v>201</v>
      </c>
      <c r="D756" s="74" t="s">
        <v>11</v>
      </c>
      <c r="E756" s="74" t="s">
        <v>31</v>
      </c>
      <c r="F756" s="77">
        <v>49.88842246768048</v>
      </c>
    </row>
    <row r="757">
      <c r="A757" s="76">
        <v>62.0</v>
      </c>
      <c r="B757" s="74" t="s">
        <v>156</v>
      </c>
      <c r="C757" s="74" t="s">
        <v>157</v>
      </c>
      <c r="D757" s="74" t="s">
        <v>30</v>
      </c>
      <c r="E757" s="74" t="s">
        <v>94</v>
      </c>
      <c r="F757" s="80">
        <v>29.588422467680473</v>
      </c>
    </row>
    <row r="758">
      <c r="A758" s="76">
        <v>4.0</v>
      </c>
      <c r="B758" s="74" t="s">
        <v>118</v>
      </c>
      <c r="C758" s="74" t="s">
        <v>119</v>
      </c>
      <c r="D758" s="74" t="s">
        <v>30</v>
      </c>
      <c r="E758" s="74" t="s">
        <v>88</v>
      </c>
      <c r="F758" s="77">
        <v>31.258422467680475</v>
      </c>
    </row>
    <row r="759">
      <c r="A759" s="76">
        <v>53.0</v>
      </c>
      <c r="B759" s="74" t="s">
        <v>241</v>
      </c>
      <c r="C759" s="74" t="s">
        <v>242</v>
      </c>
      <c r="D759" s="74" t="s">
        <v>30</v>
      </c>
      <c r="E759" s="74" t="s">
        <v>52</v>
      </c>
      <c r="F759" s="80">
        <v>64.20842246768046</v>
      </c>
    </row>
    <row r="760">
      <c r="A760" s="76">
        <v>68.0</v>
      </c>
      <c r="B760" s="74" t="s">
        <v>41</v>
      </c>
      <c r="C760" s="74" t="s">
        <v>42</v>
      </c>
      <c r="D760" s="74" t="s">
        <v>11</v>
      </c>
      <c r="E760" s="74" t="s">
        <v>56</v>
      </c>
      <c r="F760" s="77">
        <v>62.74842246768048</v>
      </c>
    </row>
    <row r="761">
      <c r="A761" s="76">
        <v>19.0</v>
      </c>
      <c r="B761" s="74" t="s">
        <v>41</v>
      </c>
      <c r="C761" s="74" t="s">
        <v>193</v>
      </c>
      <c r="D761" s="74" t="s">
        <v>30</v>
      </c>
      <c r="E761" s="74" t="s">
        <v>97</v>
      </c>
      <c r="F761" s="80">
        <v>3.058422467680474</v>
      </c>
    </row>
    <row r="762">
      <c r="A762" s="76">
        <v>10.0</v>
      </c>
      <c r="B762" s="74" t="s">
        <v>148</v>
      </c>
      <c r="C762" s="74" t="s">
        <v>149</v>
      </c>
      <c r="D762" s="74" t="s">
        <v>11</v>
      </c>
      <c r="E762" s="74" t="s">
        <v>60</v>
      </c>
      <c r="F762" s="77">
        <v>43.27842246768048</v>
      </c>
    </row>
    <row r="763">
      <c r="A763" s="76">
        <v>18.0</v>
      </c>
      <c r="B763" s="74" t="s">
        <v>163</v>
      </c>
      <c r="C763" s="74" t="s">
        <v>240</v>
      </c>
      <c r="D763" s="74" t="s">
        <v>11</v>
      </c>
      <c r="E763" s="74" t="s">
        <v>60</v>
      </c>
      <c r="F763" s="80">
        <v>49.158422467680474</v>
      </c>
    </row>
    <row r="764">
      <c r="A764" s="76">
        <v>23.0</v>
      </c>
      <c r="B764" s="74" t="s">
        <v>235</v>
      </c>
      <c r="C764" s="74" t="s">
        <v>236</v>
      </c>
      <c r="D764" s="74" t="s">
        <v>11</v>
      </c>
      <c r="E764" s="74" t="s">
        <v>72</v>
      </c>
      <c r="F764" s="77">
        <v>14.738422467680474</v>
      </c>
    </row>
    <row r="765">
      <c r="A765" s="76">
        <v>47.0</v>
      </c>
      <c r="B765" s="74" t="s">
        <v>120</v>
      </c>
      <c r="C765" s="74" t="s">
        <v>121</v>
      </c>
      <c r="D765" s="74" t="s">
        <v>11</v>
      </c>
      <c r="E765" s="74" t="s">
        <v>50</v>
      </c>
      <c r="F765" s="80">
        <v>28.458422467680474</v>
      </c>
    </row>
    <row r="766">
      <c r="A766" s="76">
        <v>71.0</v>
      </c>
      <c r="B766" s="74" t="s">
        <v>150</v>
      </c>
      <c r="C766" s="74" t="s">
        <v>151</v>
      </c>
      <c r="D766" s="74" t="s">
        <v>30</v>
      </c>
      <c r="E766" s="74" t="s">
        <v>35</v>
      </c>
      <c r="F766" s="77">
        <v>11.558422467680472</v>
      </c>
    </row>
    <row r="767">
      <c r="A767" s="76">
        <v>73.0</v>
      </c>
      <c r="B767" s="74" t="s">
        <v>223</v>
      </c>
      <c r="C767" s="74" t="s">
        <v>224</v>
      </c>
      <c r="D767" s="74" t="s">
        <v>11</v>
      </c>
      <c r="E767" s="74" t="s">
        <v>94</v>
      </c>
      <c r="F767" s="80">
        <v>29.358422467680477</v>
      </c>
    </row>
    <row r="768">
      <c r="A768" s="76">
        <v>42.0</v>
      </c>
      <c r="B768" s="74" t="s">
        <v>92</v>
      </c>
      <c r="C768" s="74" t="s">
        <v>170</v>
      </c>
      <c r="D768" s="74" t="s">
        <v>11</v>
      </c>
      <c r="E768" s="74" t="s">
        <v>91</v>
      </c>
      <c r="F768" s="77">
        <v>1.3784224676804737</v>
      </c>
    </row>
    <row r="769">
      <c r="A769" s="76">
        <v>23.0</v>
      </c>
      <c r="B769" s="74" t="s">
        <v>235</v>
      </c>
      <c r="C769" s="74" t="s">
        <v>236</v>
      </c>
      <c r="D769" s="74" t="s">
        <v>30</v>
      </c>
      <c r="E769" s="74" t="s">
        <v>60</v>
      </c>
      <c r="F769" s="80">
        <v>37.508422467680475</v>
      </c>
    </row>
    <row r="770">
      <c r="A770" s="76">
        <v>4.0</v>
      </c>
      <c r="B770" s="74" t="s">
        <v>118</v>
      </c>
      <c r="C770" s="74" t="s">
        <v>119</v>
      </c>
      <c r="D770" s="74" t="s">
        <v>11</v>
      </c>
      <c r="E770" s="74" t="s">
        <v>94</v>
      </c>
      <c r="F770" s="77">
        <v>29.748422467680474</v>
      </c>
    </row>
    <row r="771">
      <c r="A771" s="76">
        <v>36.0</v>
      </c>
      <c r="B771" s="74" t="s">
        <v>92</v>
      </c>
      <c r="C771" s="74" t="s">
        <v>93</v>
      </c>
      <c r="D771" s="74" t="s">
        <v>11</v>
      </c>
      <c r="E771" s="74" t="s">
        <v>94</v>
      </c>
      <c r="F771" s="80">
        <v>26.278422467680475</v>
      </c>
    </row>
    <row r="772">
      <c r="A772" s="76">
        <v>75.0</v>
      </c>
      <c r="B772" s="74" t="s">
        <v>238</v>
      </c>
      <c r="C772" s="74" t="s">
        <v>239</v>
      </c>
      <c r="D772" s="74" t="s">
        <v>11</v>
      </c>
      <c r="E772" s="74" t="s">
        <v>94</v>
      </c>
      <c r="F772" s="77">
        <v>26.798422467680474</v>
      </c>
    </row>
    <row r="773">
      <c r="A773" s="76">
        <v>30.0</v>
      </c>
      <c r="B773" s="74" t="s">
        <v>9</v>
      </c>
      <c r="C773" s="74" t="s">
        <v>10</v>
      </c>
      <c r="D773" s="74" t="s">
        <v>11</v>
      </c>
      <c r="E773" s="74" t="s">
        <v>68</v>
      </c>
      <c r="F773" s="80">
        <v>10.388422467680472</v>
      </c>
    </row>
    <row r="774">
      <c r="A774" s="76">
        <v>59.0</v>
      </c>
      <c r="B774" s="74" t="s">
        <v>103</v>
      </c>
      <c r="C774" s="74" t="s">
        <v>104</v>
      </c>
      <c r="D774" s="74" t="s">
        <v>11</v>
      </c>
      <c r="E774" s="74" t="s">
        <v>68</v>
      </c>
      <c r="F774" s="77">
        <v>12.658422467680474</v>
      </c>
    </row>
    <row r="775">
      <c r="A775" s="76">
        <v>87.0</v>
      </c>
      <c r="B775" s="74" t="s">
        <v>243</v>
      </c>
      <c r="C775" s="74" t="s">
        <v>244</v>
      </c>
      <c r="D775" s="74" t="s">
        <v>11</v>
      </c>
      <c r="E775" s="74" t="s">
        <v>94</v>
      </c>
      <c r="F775" s="80">
        <v>29.118422467680475</v>
      </c>
    </row>
    <row r="776">
      <c r="A776" s="76">
        <v>46.0</v>
      </c>
      <c r="B776" s="74" t="s">
        <v>143</v>
      </c>
      <c r="C776" s="74" t="s">
        <v>144</v>
      </c>
      <c r="D776" s="74" t="s">
        <v>11</v>
      </c>
      <c r="E776" s="74" t="s">
        <v>85</v>
      </c>
      <c r="F776" s="77">
        <v>15.408422467680472</v>
      </c>
    </row>
    <row r="777">
      <c r="A777" s="76">
        <v>37.0</v>
      </c>
      <c r="B777" s="74" t="s">
        <v>245</v>
      </c>
      <c r="C777" s="74" t="s">
        <v>246</v>
      </c>
      <c r="D777" s="74" t="s">
        <v>30</v>
      </c>
      <c r="E777" s="74" t="s">
        <v>50</v>
      </c>
      <c r="F777" s="80">
        <v>32.58842246768047</v>
      </c>
    </row>
    <row r="778">
      <c r="A778" s="76">
        <v>9.0</v>
      </c>
      <c r="B778" s="74" t="s">
        <v>207</v>
      </c>
      <c r="C778" s="74" t="s">
        <v>208</v>
      </c>
      <c r="D778" s="74" t="s">
        <v>11</v>
      </c>
      <c r="E778" s="74" t="s">
        <v>39</v>
      </c>
      <c r="F778" s="77">
        <v>28.718422467680476</v>
      </c>
    </row>
    <row r="779">
      <c r="A779" s="76">
        <v>34.0</v>
      </c>
      <c r="B779" s="74" t="s">
        <v>177</v>
      </c>
      <c r="C779" s="74" t="s">
        <v>178</v>
      </c>
      <c r="D779" s="74" t="s">
        <v>30</v>
      </c>
      <c r="E779" s="74" t="s">
        <v>50</v>
      </c>
      <c r="F779" s="80">
        <v>31.628422467680473</v>
      </c>
    </row>
    <row r="780">
      <c r="A780" s="76">
        <v>66.0</v>
      </c>
      <c r="B780" s="74" t="s">
        <v>150</v>
      </c>
      <c r="C780" s="74" t="s">
        <v>158</v>
      </c>
      <c r="D780" s="74" t="s">
        <v>11</v>
      </c>
      <c r="E780" s="74" t="s">
        <v>56</v>
      </c>
      <c r="F780" s="77">
        <v>68.45842246768046</v>
      </c>
    </row>
    <row r="781">
      <c r="A781" s="76">
        <v>98.0</v>
      </c>
      <c r="B781" s="74" t="s">
        <v>159</v>
      </c>
      <c r="C781" s="74" t="s">
        <v>196</v>
      </c>
      <c r="D781" s="74" t="s">
        <v>11</v>
      </c>
      <c r="E781" s="74" t="s">
        <v>35</v>
      </c>
      <c r="F781" s="80">
        <v>17.558422467680476</v>
      </c>
    </row>
    <row r="782">
      <c r="A782" s="76">
        <v>12.0</v>
      </c>
      <c r="B782" s="74" t="s">
        <v>188</v>
      </c>
      <c r="C782" s="74" t="s">
        <v>189</v>
      </c>
      <c r="D782" s="74" t="s">
        <v>11</v>
      </c>
      <c r="E782" s="74" t="s">
        <v>31</v>
      </c>
      <c r="F782" s="77">
        <v>45.48842246768047</v>
      </c>
    </row>
    <row r="783">
      <c r="A783" s="76">
        <v>49.0</v>
      </c>
      <c r="B783" s="74" t="s">
        <v>179</v>
      </c>
      <c r="C783" s="74" t="s">
        <v>180</v>
      </c>
      <c r="D783" s="74" t="s">
        <v>30</v>
      </c>
      <c r="E783" s="74" t="s">
        <v>91</v>
      </c>
      <c r="F783" s="80">
        <v>1.408422467680474</v>
      </c>
    </row>
    <row r="784">
      <c r="A784" s="76">
        <v>88.0</v>
      </c>
      <c r="B784" s="74" t="s">
        <v>200</v>
      </c>
      <c r="C784" s="74" t="s">
        <v>206</v>
      </c>
      <c r="D784" s="74" t="s">
        <v>30</v>
      </c>
      <c r="E784" s="74" t="s">
        <v>85</v>
      </c>
      <c r="F784" s="77">
        <v>11.408422467680474</v>
      </c>
    </row>
    <row r="785">
      <c r="A785" s="76">
        <v>20.0</v>
      </c>
      <c r="B785" s="74" t="s">
        <v>161</v>
      </c>
      <c r="C785" s="74" t="s">
        <v>162</v>
      </c>
      <c r="D785" s="74" t="s">
        <v>30</v>
      </c>
      <c r="E785" s="74" t="s">
        <v>56</v>
      </c>
      <c r="F785" s="80">
        <v>75.98842246768046</v>
      </c>
    </row>
    <row r="786">
      <c r="A786" s="76">
        <v>54.0</v>
      </c>
      <c r="B786" s="74" t="s">
        <v>86</v>
      </c>
      <c r="C786" s="74" t="s">
        <v>87</v>
      </c>
      <c r="D786" s="74" t="s">
        <v>30</v>
      </c>
      <c r="E786" s="74" t="s">
        <v>35</v>
      </c>
      <c r="F786" s="77">
        <v>11.508422467680473</v>
      </c>
    </row>
    <row r="787">
      <c r="A787" s="76">
        <v>70.0</v>
      </c>
      <c r="B787" s="74" t="s">
        <v>152</v>
      </c>
      <c r="C787" s="74" t="s">
        <v>153</v>
      </c>
      <c r="D787" s="74" t="s">
        <v>11</v>
      </c>
      <c r="E787" s="74" t="s">
        <v>85</v>
      </c>
      <c r="F787" s="80">
        <v>11.488422467680474</v>
      </c>
    </row>
    <row r="788">
      <c r="A788" s="76">
        <v>96.0</v>
      </c>
      <c r="B788" s="74" t="s">
        <v>163</v>
      </c>
      <c r="C788" s="74" t="s">
        <v>164</v>
      </c>
      <c r="D788" s="74" t="s">
        <v>30</v>
      </c>
      <c r="E788" s="74" t="s">
        <v>39</v>
      </c>
      <c r="F788" s="77">
        <v>38.51842246768047</v>
      </c>
    </row>
    <row r="789">
      <c r="A789" s="76">
        <v>51.0</v>
      </c>
      <c r="B789" s="74" t="s">
        <v>233</v>
      </c>
      <c r="C789" s="74" t="s">
        <v>234</v>
      </c>
      <c r="D789" s="74" t="s">
        <v>11</v>
      </c>
      <c r="E789" s="74" t="s">
        <v>12</v>
      </c>
      <c r="F789" s="80">
        <v>9.358422467680473</v>
      </c>
    </row>
    <row r="790">
      <c r="A790" s="76">
        <v>46.0</v>
      </c>
      <c r="B790" s="74" t="s">
        <v>143</v>
      </c>
      <c r="C790" s="74" t="s">
        <v>144</v>
      </c>
      <c r="D790" s="74" t="s">
        <v>11</v>
      </c>
      <c r="E790" s="74" t="s">
        <v>91</v>
      </c>
      <c r="F790" s="77">
        <v>1.4384224676804738</v>
      </c>
    </row>
    <row r="791">
      <c r="A791" s="76">
        <v>79.0</v>
      </c>
      <c r="B791" s="74" t="s">
        <v>101</v>
      </c>
      <c r="C791" s="74" t="s">
        <v>102</v>
      </c>
      <c r="D791" s="74" t="s">
        <v>11</v>
      </c>
      <c r="E791" s="74" t="s">
        <v>91</v>
      </c>
      <c r="F791" s="80">
        <v>1.0584224676804739</v>
      </c>
    </row>
    <row r="792">
      <c r="A792" s="76">
        <v>58.0</v>
      </c>
      <c r="B792" s="74" t="s">
        <v>165</v>
      </c>
      <c r="C792" s="74" t="s">
        <v>166</v>
      </c>
      <c r="D792" s="74" t="s">
        <v>30</v>
      </c>
      <c r="E792" s="74" t="s">
        <v>91</v>
      </c>
      <c r="F792" s="77">
        <v>2.318422467680474</v>
      </c>
    </row>
    <row r="793">
      <c r="A793" s="76">
        <v>80.0</v>
      </c>
      <c r="B793" s="74" t="s">
        <v>37</v>
      </c>
      <c r="C793" s="74" t="s">
        <v>38</v>
      </c>
      <c r="D793" s="74" t="s">
        <v>30</v>
      </c>
      <c r="E793" s="74" t="s">
        <v>79</v>
      </c>
      <c r="F793" s="80">
        <v>26.208422467680474</v>
      </c>
    </row>
    <row r="794">
      <c r="A794" s="76">
        <v>20.0</v>
      </c>
      <c r="B794" s="74" t="s">
        <v>161</v>
      </c>
      <c r="C794" s="74" t="s">
        <v>162</v>
      </c>
      <c r="D794" s="74" t="s">
        <v>11</v>
      </c>
      <c r="E794" s="74" t="s">
        <v>94</v>
      </c>
      <c r="F794" s="77">
        <v>25.148422467680476</v>
      </c>
    </row>
    <row r="795">
      <c r="A795" s="76">
        <v>27.0</v>
      </c>
      <c r="B795" s="74" t="s">
        <v>173</v>
      </c>
      <c r="C795" s="74" t="s">
        <v>174</v>
      </c>
      <c r="D795" s="74" t="s">
        <v>30</v>
      </c>
      <c r="E795" s="74" t="s">
        <v>82</v>
      </c>
      <c r="F795" s="80">
        <v>10.838422467680473</v>
      </c>
    </row>
    <row r="796">
      <c r="A796" s="76">
        <v>81.0</v>
      </c>
      <c r="B796" s="74" t="s">
        <v>54</v>
      </c>
      <c r="C796" s="74" t="s">
        <v>55</v>
      </c>
      <c r="D796" s="74" t="s">
        <v>30</v>
      </c>
      <c r="E796" s="74" t="s">
        <v>79</v>
      </c>
      <c r="F796" s="77">
        <v>33.73842246768047</v>
      </c>
    </row>
    <row r="797">
      <c r="A797" s="76">
        <v>63.0</v>
      </c>
      <c r="B797" s="74" t="s">
        <v>225</v>
      </c>
      <c r="C797" s="74" t="s">
        <v>226</v>
      </c>
      <c r="D797" s="74" t="s">
        <v>30</v>
      </c>
      <c r="E797" s="74" t="s">
        <v>39</v>
      </c>
      <c r="F797" s="80">
        <v>37.078422467680475</v>
      </c>
    </row>
    <row r="798">
      <c r="A798" s="76">
        <v>56.0</v>
      </c>
      <c r="B798" s="74" t="s">
        <v>127</v>
      </c>
      <c r="C798" s="74" t="s">
        <v>128</v>
      </c>
      <c r="D798" s="74" t="s">
        <v>11</v>
      </c>
      <c r="E798" s="74" t="s">
        <v>79</v>
      </c>
      <c r="F798" s="77">
        <v>35.968422467680476</v>
      </c>
    </row>
    <row r="799">
      <c r="A799" s="76">
        <v>89.0</v>
      </c>
      <c r="B799" s="74" t="s">
        <v>135</v>
      </c>
      <c r="C799" s="74" t="s">
        <v>136</v>
      </c>
      <c r="D799" s="74" t="s">
        <v>30</v>
      </c>
      <c r="E799" s="74" t="s">
        <v>39</v>
      </c>
      <c r="F799" s="80">
        <v>36.17842246768048</v>
      </c>
    </row>
    <row r="800">
      <c r="A800" s="76">
        <v>71.0</v>
      </c>
      <c r="B800" s="74" t="s">
        <v>150</v>
      </c>
      <c r="C800" s="74" t="s">
        <v>151</v>
      </c>
      <c r="D800" s="74" t="s">
        <v>30</v>
      </c>
      <c r="E800" s="74" t="s">
        <v>50</v>
      </c>
      <c r="F800" s="77">
        <v>28.138422467680474</v>
      </c>
    </row>
    <row r="801">
      <c r="A801" s="76">
        <v>66.0</v>
      </c>
      <c r="B801" s="74" t="s">
        <v>150</v>
      </c>
      <c r="C801" s="74" t="s">
        <v>158</v>
      </c>
      <c r="D801" s="74" t="s">
        <v>30</v>
      </c>
      <c r="E801" s="74" t="s">
        <v>88</v>
      </c>
      <c r="F801" s="80">
        <v>41.13842246768048</v>
      </c>
    </row>
    <row r="802">
      <c r="A802" s="76">
        <v>1.0</v>
      </c>
      <c r="B802" s="74" t="s">
        <v>194</v>
      </c>
      <c r="C802" s="74" t="s">
        <v>195</v>
      </c>
      <c r="D802" s="74" t="s">
        <v>11</v>
      </c>
      <c r="E802" s="74" t="s">
        <v>68</v>
      </c>
      <c r="F802" s="77">
        <v>7.918422467680474</v>
      </c>
    </row>
    <row r="803">
      <c r="A803" s="76">
        <v>97.0</v>
      </c>
      <c r="B803" s="74" t="s">
        <v>69</v>
      </c>
      <c r="C803" s="74" t="s">
        <v>70</v>
      </c>
      <c r="D803" s="74" t="s">
        <v>11</v>
      </c>
      <c r="E803" s="74" t="s">
        <v>79</v>
      </c>
      <c r="F803" s="80">
        <v>37.41842246768047</v>
      </c>
    </row>
    <row r="804">
      <c r="A804" s="76">
        <v>1.0</v>
      </c>
      <c r="B804" s="74" t="s">
        <v>194</v>
      </c>
      <c r="C804" s="74" t="s">
        <v>195</v>
      </c>
      <c r="D804" s="74" t="s">
        <v>30</v>
      </c>
      <c r="E804" s="74" t="s">
        <v>85</v>
      </c>
      <c r="F804" s="77">
        <v>15.238422467680474</v>
      </c>
    </row>
    <row r="805">
      <c r="A805" s="76">
        <v>5.0</v>
      </c>
      <c r="B805" s="74" t="s">
        <v>167</v>
      </c>
      <c r="C805" s="74" t="s">
        <v>168</v>
      </c>
      <c r="D805" s="74" t="s">
        <v>11</v>
      </c>
      <c r="E805" s="74" t="s">
        <v>56</v>
      </c>
      <c r="F805" s="80">
        <v>64.12842246768047</v>
      </c>
    </row>
    <row r="806">
      <c r="A806" s="76">
        <v>4.0</v>
      </c>
      <c r="B806" s="74" t="s">
        <v>118</v>
      </c>
      <c r="C806" s="74" t="s">
        <v>119</v>
      </c>
      <c r="D806" s="74" t="s">
        <v>30</v>
      </c>
      <c r="E806" s="74" t="s">
        <v>39</v>
      </c>
      <c r="F806" s="77">
        <v>26.558422467680476</v>
      </c>
    </row>
    <row r="807">
      <c r="A807" s="76">
        <v>7.0</v>
      </c>
      <c r="B807" s="74" t="s">
        <v>114</v>
      </c>
      <c r="C807" s="74" t="s">
        <v>115</v>
      </c>
      <c r="D807" s="74" t="s">
        <v>11</v>
      </c>
      <c r="E807" s="74" t="s">
        <v>72</v>
      </c>
      <c r="F807" s="80">
        <v>23.718422467680476</v>
      </c>
    </row>
    <row r="808">
      <c r="A808" s="76">
        <v>70.0</v>
      </c>
      <c r="B808" s="74" t="s">
        <v>152</v>
      </c>
      <c r="C808" s="74" t="s">
        <v>153</v>
      </c>
      <c r="D808" s="74" t="s">
        <v>11</v>
      </c>
      <c r="E808" s="74" t="s">
        <v>43</v>
      </c>
      <c r="F808" s="77">
        <v>16.078422467680475</v>
      </c>
    </row>
    <row r="809">
      <c r="A809" s="76">
        <v>31.0</v>
      </c>
      <c r="B809" s="74" t="s">
        <v>229</v>
      </c>
      <c r="C809" s="74" t="s">
        <v>230</v>
      </c>
      <c r="D809" s="74" t="s">
        <v>11</v>
      </c>
      <c r="E809" s="74" t="s">
        <v>50</v>
      </c>
      <c r="F809" s="80">
        <v>31.038422467680476</v>
      </c>
    </row>
    <row r="810">
      <c r="A810" s="76">
        <v>76.0</v>
      </c>
      <c r="B810" s="74" t="s">
        <v>213</v>
      </c>
      <c r="C810" s="74" t="s">
        <v>214</v>
      </c>
      <c r="D810" s="74" t="s">
        <v>30</v>
      </c>
      <c r="E810" s="74" t="s">
        <v>31</v>
      </c>
      <c r="F810" s="77">
        <v>54.908422467680474</v>
      </c>
    </row>
    <row r="811">
      <c r="A811" s="76">
        <v>48.0</v>
      </c>
      <c r="B811" s="74" t="s">
        <v>41</v>
      </c>
      <c r="C811" s="74" t="s">
        <v>45</v>
      </c>
      <c r="D811" s="74" t="s">
        <v>30</v>
      </c>
      <c r="E811" s="74" t="s">
        <v>76</v>
      </c>
      <c r="F811" s="80">
        <v>10.588422467680473</v>
      </c>
    </row>
    <row r="812">
      <c r="A812" s="76">
        <v>23.0</v>
      </c>
      <c r="B812" s="74" t="s">
        <v>235</v>
      </c>
      <c r="C812" s="74" t="s">
        <v>236</v>
      </c>
      <c r="D812" s="74" t="s">
        <v>30</v>
      </c>
      <c r="E812" s="74" t="s">
        <v>88</v>
      </c>
      <c r="F812" s="77">
        <v>38.408422467680474</v>
      </c>
    </row>
    <row r="813">
      <c r="A813" s="76">
        <v>72.0</v>
      </c>
      <c r="B813" s="74" t="s">
        <v>133</v>
      </c>
      <c r="C813" s="74" t="s">
        <v>134</v>
      </c>
      <c r="D813" s="74" t="s">
        <v>11</v>
      </c>
      <c r="E813" s="74" t="s">
        <v>68</v>
      </c>
      <c r="F813" s="80">
        <v>15.448422467680475</v>
      </c>
    </row>
    <row r="814">
      <c r="A814" s="76">
        <v>65.0</v>
      </c>
      <c r="B814" s="74" t="s">
        <v>209</v>
      </c>
      <c r="C814" s="74" t="s">
        <v>210</v>
      </c>
      <c r="D814" s="74" t="s">
        <v>11</v>
      </c>
      <c r="E814" s="74" t="s">
        <v>50</v>
      </c>
      <c r="F814" s="77">
        <v>23.668422467680475</v>
      </c>
    </row>
    <row r="815">
      <c r="A815" s="76">
        <v>69.0</v>
      </c>
      <c r="B815" s="74" t="s">
        <v>108</v>
      </c>
      <c r="C815" s="74" t="s">
        <v>145</v>
      </c>
      <c r="D815" s="74" t="s">
        <v>11</v>
      </c>
      <c r="E815" s="74" t="s">
        <v>85</v>
      </c>
      <c r="F815" s="80">
        <v>14.808422467680472</v>
      </c>
    </row>
    <row r="816">
      <c r="A816" s="76">
        <v>19.0</v>
      </c>
      <c r="B816" s="74" t="s">
        <v>41</v>
      </c>
      <c r="C816" s="74" t="s">
        <v>193</v>
      </c>
      <c r="D816" s="74" t="s">
        <v>11</v>
      </c>
      <c r="E816" s="74" t="s">
        <v>43</v>
      </c>
      <c r="F816" s="77">
        <v>15.268422467680471</v>
      </c>
    </row>
    <row r="817">
      <c r="A817" s="76">
        <v>20.0</v>
      </c>
      <c r="B817" s="74" t="s">
        <v>161</v>
      </c>
      <c r="C817" s="74" t="s">
        <v>162</v>
      </c>
      <c r="D817" s="74" t="s">
        <v>30</v>
      </c>
      <c r="E817" s="74" t="s">
        <v>12</v>
      </c>
      <c r="F817" s="80">
        <v>9.768422467680473</v>
      </c>
    </row>
    <row r="818">
      <c r="A818" s="76">
        <v>5.0</v>
      </c>
      <c r="B818" s="74" t="s">
        <v>167</v>
      </c>
      <c r="C818" s="74" t="s">
        <v>168</v>
      </c>
      <c r="D818" s="74" t="s">
        <v>30</v>
      </c>
      <c r="E818" s="74" t="s">
        <v>60</v>
      </c>
      <c r="F818" s="77">
        <v>37.84842246768047</v>
      </c>
    </row>
    <row r="819">
      <c r="A819" s="76">
        <v>15.0</v>
      </c>
      <c r="B819" s="74" t="s">
        <v>58</v>
      </c>
      <c r="C819" s="74" t="s">
        <v>59</v>
      </c>
      <c r="D819" s="74" t="s">
        <v>11</v>
      </c>
      <c r="E819" s="74" t="s">
        <v>79</v>
      </c>
      <c r="F819" s="80">
        <v>26.828422467680475</v>
      </c>
    </row>
    <row r="820">
      <c r="A820" s="76">
        <v>97.0</v>
      </c>
      <c r="B820" s="74" t="s">
        <v>69</v>
      </c>
      <c r="C820" s="74" t="s">
        <v>70</v>
      </c>
      <c r="D820" s="74" t="s">
        <v>11</v>
      </c>
      <c r="E820" s="74" t="s">
        <v>97</v>
      </c>
      <c r="F820" s="77">
        <v>2.108422467680474</v>
      </c>
    </row>
    <row r="821">
      <c r="A821" s="76">
        <v>63.0</v>
      </c>
      <c r="B821" s="74" t="s">
        <v>225</v>
      </c>
      <c r="C821" s="74" t="s">
        <v>226</v>
      </c>
      <c r="D821" s="74" t="s">
        <v>11</v>
      </c>
      <c r="E821" s="74" t="s">
        <v>76</v>
      </c>
      <c r="F821" s="80">
        <v>9.938422467680473</v>
      </c>
    </row>
    <row r="822">
      <c r="A822" s="76">
        <v>92.0</v>
      </c>
      <c r="B822" s="74" t="s">
        <v>112</v>
      </c>
      <c r="C822" s="74" t="s">
        <v>197</v>
      </c>
      <c r="D822" s="74" t="s">
        <v>30</v>
      </c>
      <c r="E822" s="74" t="s">
        <v>52</v>
      </c>
      <c r="F822" s="77">
        <v>55.52842246768048</v>
      </c>
    </row>
    <row r="823">
      <c r="A823" s="76">
        <v>51.0</v>
      </c>
      <c r="B823" s="74" t="s">
        <v>233</v>
      </c>
      <c r="C823" s="74" t="s">
        <v>234</v>
      </c>
      <c r="D823" s="74" t="s">
        <v>30</v>
      </c>
      <c r="E823" s="74" t="s">
        <v>82</v>
      </c>
      <c r="F823" s="80">
        <v>9.008422467680473</v>
      </c>
    </row>
    <row r="824">
      <c r="A824" s="76">
        <v>45.0</v>
      </c>
      <c r="B824" s="74" t="s">
        <v>221</v>
      </c>
      <c r="C824" s="74" t="s">
        <v>222</v>
      </c>
      <c r="D824" s="74" t="s">
        <v>11</v>
      </c>
      <c r="E824" s="74" t="s">
        <v>46</v>
      </c>
      <c r="F824" s="77">
        <v>12.948422467680473</v>
      </c>
    </row>
    <row r="825">
      <c r="A825" s="76">
        <v>74.0</v>
      </c>
      <c r="B825" s="74" t="s">
        <v>9</v>
      </c>
      <c r="C825" s="74" t="s">
        <v>124</v>
      </c>
      <c r="D825" s="74" t="s">
        <v>30</v>
      </c>
      <c r="E825" s="74" t="s">
        <v>91</v>
      </c>
      <c r="F825" s="80">
        <v>1.4784224676804738</v>
      </c>
    </row>
    <row r="826">
      <c r="A826" s="76">
        <v>42.0</v>
      </c>
      <c r="B826" s="74" t="s">
        <v>92</v>
      </c>
      <c r="C826" s="74" t="s">
        <v>170</v>
      </c>
      <c r="D826" s="74" t="s">
        <v>30</v>
      </c>
      <c r="E826" s="74" t="s">
        <v>79</v>
      </c>
      <c r="F826" s="77">
        <v>35.55842246768047</v>
      </c>
    </row>
    <row r="827">
      <c r="A827" s="76">
        <v>82.0</v>
      </c>
      <c r="B827" s="74" t="s">
        <v>231</v>
      </c>
      <c r="C827" s="74" t="s">
        <v>232</v>
      </c>
      <c r="D827" s="74" t="s">
        <v>11</v>
      </c>
      <c r="E827" s="74" t="s">
        <v>91</v>
      </c>
      <c r="F827" s="80">
        <v>1.678422467680474</v>
      </c>
    </row>
    <row r="828">
      <c r="A828" s="76">
        <v>19.0</v>
      </c>
      <c r="B828" s="74" t="s">
        <v>41</v>
      </c>
      <c r="C828" s="74" t="s">
        <v>193</v>
      </c>
      <c r="D828" s="74" t="s">
        <v>30</v>
      </c>
      <c r="E828" s="74" t="s">
        <v>91</v>
      </c>
      <c r="F828" s="77">
        <v>2.688422467680474</v>
      </c>
    </row>
    <row r="829">
      <c r="A829" s="76">
        <v>72.0</v>
      </c>
      <c r="B829" s="74" t="s">
        <v>133</v>
      </c>
      <c r="C829" s="74" t="s">
        <v>134</v>
      </c>
      <c r="D829" s="74" t="s">
        <v>30</v>
      </c>
      <c r="E829" s="74" t="s">
        <v>97</v>
      </c>
      <c r="F829" s="80">
        <v>2.0784224676804737</v>
      </c>
    </row>
    <row r="830">
      <c r="A830" s="76">
        <v>37.0</v>
      </c>
      <c r="B830" s="74" t="s">
        <v>245</v>
      </c>
      <c r="C830" s="74" t="s">
        <v>246</v>
      </c>
      <c r="D830" s="74" t="s">
        <v>30</v>
      </c>
      <c r="E830" s="74" t="s">
        <v>82</v>
      </c>
      <c r="F830" s="77">
        <v>11.648422467680474</v>
      </c>
    </row>
    <row r="831">
      <c r="A831" s="76">
        <v>8.0</v>
      </c>
      <c r="B831" s="74" t="s">
        <v>108</v>
      </c>
      <c r="C831" s="74" t="s">
        <v>109</v>
      </c>
      <c r="D831" s="74" t="s">
        <v>11</v>
      </c>
      <c r="E831" s="74" t="s">
        <v>82</v>
      </c>
      <c r="F831" s="80">
        <v>12.768422467680473</v>
      </c>
    </row>
    <row r="832">
      <c r="A832" s="76">
        <v>59.0</v>
      </c>
      <c r="B832" s="74" t="s">
        <v>103</v>
      </c>
      <c r="C832" s="74" t="s">
        <v>104</v>
      </c>
      <c r="D832" s="74" t="s">
        <v>30</v>
      </c>
      <c r="E832" s="74" t="s">
        <v>85</v>
      </c>
      <c r="F832" s="77">
        <v>10.918422467680474</v>
      </c>
    </row>
    <row r="833">
      <c r="A833" s="76">
        <v>83.0</v>
      </c>
      <c r="B833" s="74" t="s">
        <v>98</v>
      </c>
      <c r="C833" s="74" t="s">
        <v>99</v>
      </c>
      <c r="D833" s="74" t="s">
        <v>30</v>
      </c>
      <c r="E833" s="74" t="s">
        <v>94</v>
      </c>
      <c r="F833" s="80">
        <v>28.988422467680476</v>
      </c>
    </row>
    <row r="834">
      <c r="A834" s="76">
        <v>43.0</v>
      </c>
      <c r="B834" s="74" t="s">
        <v>95</v>
      </c>
      <c r="C834" s="74" t="s">
        <v>96</v>
      </c>
      <c r="D834" s="74" t="s">
        <v>11</v>
      </c>
      <c r="E834" s="74" t="s">
        <v>31</v>
      </c>
      <c r="F834" s="77">
        <v>43.618422467680475</v>
      </c>
    </row>
    <row r="835">
      <c r="A835" s="76">
        <v>30.0</v>
      </c>
      <c r="B835" s="74" t="s">
        <v>9</v>
      </c>
      <c r="C835" s="74" t="s">
        <v>10</v>
      </c>
      <c r="D835" s="74" t="s">
        <v>11</v>
      </c>
      <c r="E835" s="74" t="s">
        <v>79</v>
      </c>
      <c r="F835" s="80">
        <v>28.548422467680474</v>
      </c>
    </row>
    <row r="836">
      <c r="A836" s="76">
        <v>53.0</v>
      </c>
      <c r="B836" s="74" t="s">
        <v>241</v>
      </c>
      <c r="C836" s="74" t="s">
        <v>242</v>
      </c>
      <c r="D836" s="74" t="s">
        <v>11</v>
      </c>
      <c r="E836" s="74" t="s">
        <v>72</v>
      </c>
      <c r="F836" s="77">
        <v>14.938422467680473</v>
      </c>
    </row>
    <row r="837">
      <c r="A837" s="76">
        <v>28.0</v>
      </c>
      <c r="B837" s="74" t="s">
        <v>77</v>
      </c>
      <c r="C837" s="74" t="s">
        <v>78</v>
      </c>
      <c r="D837" s="74" t="s">
        <v>30</v>
      </c>
      <c r="E837" s="74" t="s">
        <v>91</v>
      </c>
      <c r="F837" s="80">
        <v>0.6984224676804738</v>
      </c>
    </row>
    <row r="838">
      <c r="A838" s="76">
        <v>80.0</v>
      </c>
      <c r="B838" s="74" t="s">
        <v>37</v>
      </c>
      <c r="C838" s="74" t="s">
        <v>38</v>
      </c>
      <c r="D838" s="74" t="s">
        <v>30</v>
      </c>
      <c r="E838" s="74" t="s">
        <v>76</v>
      </c>
      <c r="F838" s="77">
        <v>10.168422467680474</v>
      </c>
    </row>
    <row r="839">
      <c r="A839" s="76">
        <v>10.0</v>
      </c>
      <c r="B839" s="74" t="s">
        <v>148</v>
      </c>
      <c r="C839" s="74" t="s">
        <v>149</v>
      </c>
      <c r="D839" s="74" t="s">
        <v>11</v>
      </c>
      <c r="E839" s="74" t="s">
        <v>52</v>
      </c>
      <c r="F839" s="80">
        <v>47.728422467680474</v>
      </c>
    </row>
    <row r="840">
      <c r="A840" s="76">
        <v>68.0</v>
      </c>
      <c r="B840" s="74" t="s">
        <v>41</v>
      </c>
      <c r="C840" s="74" t="s">
        <v>42</v>
      </c>
      <c r="D840" s="74" t="s">
        <v>30</v>
      </c>
      <c r="E840" s="74" t="s">
        <v>72</v>
      </c>
      <c r="F840" s="77">
        <v>17.658422467680474</v>
      </c>
    </row>
    <row r="841">
      <c r="A841" s="76">
        <v>67.0</v>
      </c>
      <c r="B841" s="74" t="s">
        <v>204</v>
      </c>
      <c r="C841" s="74" t="s">
        <v>205</v>
      </c>
      <c r="D841" s="74" t="s">
        <v>30</v>
      </c>
      <c r="E841" s="74" t="s">
        <v>91</v>
      </c>
      <c r="F841" s="80">
        <v>2.6684224676804735</v>
      </c>
    </row>
    <row r="842">
      <c r="A842" s="76">
        <v>92.0</v>
      </c>
      <c r="B842" s="74" t="s">
        <v>112</v>
      </c>
      <c r="C842" s="74" t="s">
        <v>197</v>
      </c>
      <c r="D842" s="74" t="s">
        <v>30</v>
      </c>
      <c r="E842" s="74" t="s">
        <v>31</v>
      </c>
      <c r="F842" s="77">
        <v>35.74842246768048</v>
      </c>
    </row>
    <row r="843">
      <c r="A843" s="76">
        <v>51.0</v>
      </c>
      <c r="B843" s="74" t="s">
        <v>233</v>
      </c>
      <c r="C843" s="74" t="s">
        <v>234</v>
      </c>
      <c r="D843" s="74" t="s">
        <v>11</v>
      </c>
      <c r="E843" s="74" t="s">
        <v>56</v>
      </c>
      <c r="F843" s="80">
        <v>59.48842246768047</v>
      </c>
    </row>
    <row r="844">
      <c r="A844" s="76">
        <v>74.0</v>
      </c>
      <c r="B844" s="74" t="s">
        <v>9</v>
      </c>
      <c r="C844" s="74" t="s">
        <v>124</v>
      </c>
      <c r="D844" s="74" t="s">
        <v>11</v>
      </c>
      <c r="E844" s="74" t="s">
        <v>91</v>
      </c>
      <c r="F844" s="77">
        <v>1.7484224676804738</v>
      </c>
    </row>
    <row r="845">
      <c r="A845" s="76">
        <v>42.0</v>
      </c>
      <c r="B845" s="74" t="s">
        <v>92</v>
      </c>
      <c r="C845" s="74" t="s">
        <v>170</v>
      </c>
      <c r="D845" s="74" t="s">
        <v>30</v>
      </c>
      <c r="E845" s="74" t="s">
        <v>12</v>
      </c>
      <c r="F845" s="80">
        <v>9.528422467680473</v>
      </c>
    </row>
    <row r="846">
      <c r="A846" s="76">
        <v>76.0</v>
      </c>
      <c r="B846" s="74" t="s">
        <v>213</v>
      </c>
      <c r="C846" s="74" t="s">
        <v>214</v>
      </c>
      <c r="D846" s="74" t="s">
        <v>11</v>
      </c>
      <c r="E846" s="74" t="s">
        <v>39</v>
      </c>
      <c r="F846" s="77">
        <v>38.73842246768047</v>
      </c>
    </row>
    <row r="847">
      <c r="A847" s="76">
        <v>17.0</v>
      </c>
      <c r="B847" s="74" t="s">
        <v>200</v>
      </c>
      <c r="C847" s="74" t="s">
        <v>201</v>
      </c>
      <c r="D847" s="74" t="s">
        <v>11</v>
      </c>
      <c r="E847" s="74" t="s">
        <v>97</v>
      </c>
      <c r="F847" s="80">
        <v>1.6484224676804737</v>
      </c>
    </row>
    <row r="848">
      <c r="A848" s="76">
        <v>27.0</v>
      </c>
      <c r="B848" s="74" t="s">
        <v>173</v>
      </c>
      <c r="C848" s="74" t="s">
        <v>174</v>
      </c>
      <c r="D848" s="74" t="s">
        <v>30</v>
      </c>
      <c r="E848" s="74" t="s">
        <v>39</v>
      </c>
      <c r="F848" s="77">
        <v>17.578422467680475</v>
      </c>
    </row>
    <row r="849">
      <c r="A849" s="76">
        <v>92.0</v>
      </c>
      <c r="B849" s="74" t="s">
        <v>112</v>
      </c>
      <c r="C849" s="74" t="s">
        <v>197</v>
      </c>
      <c r="D849" s="74" t="s">
        <v>11</v>
      </c>
      <c r="E849" s="74" t="s">
        <v>97</v>
      </c>
      <c r="F849" s="80">
        <v>3.5484224676804743</v>
      </c>
    </row>
    <row r="850">
      <c r="A850" s="76">
        <v>84.0</v>
      </c>
      <c r="B850" s="74" t="s">
        <v>141</v>
      </c>
      <c r="C850" s="74" t="s">
        <v>142</v>
      </c>
      <c r="D850" s="74" t="s">
        <v>11</v>
      </c>
      <c r="E850" s="74" t="s">
        <v>35</v>
      </c>
      <c r="F850" s="77">
        <v>20.408422467680474</v>
      </c>
    </row>
    <row r="851">
      <c r="A851" s="76">
        <v>29.0</v>
      </c>
      <c r="B851" s="74" t="s">
        <v>122</v>
      </c>
      <c r="C851" s="74" t="s">
        <v>123</v>
      </c>
      <c r="D851" s="74" t="s">
        <v>30</v>
      </c>
      <c r="E851" s="74" t="s">
        <v>85</v>
      </c>
      <c r="F851" s="80">
        <v>14.448422467680473</v>
      </c>
    </row>
    <row r="852">
      <c r="A852" s="76">
        <v>62.0</v>
      </c>
      <c r="B852" s="74" t="s">
        <v>156</v>
      </c>
      <c r="C852" s="74" t="s">
        <v>157</v>
      </c>
      <c r="D852" s="74" t="s">
        <v>11</v>
      </c>
      <c r="E852" s="74" t="s">
        <v>12</v>
      </c>
      <c r="F852" s="77">
        <v>9.688422467680473</v>
      </c>
    </row>
    <row r="853">
      <c r="A853" s="76">
        <v>88.0</v>
      </c>
      <c r="B853" s="74" t="s">
        <v>200</v>
      </c>
      <c r="C853" s="74" t="s">
        <v>206</v>
      </c>
      <c r="D853" s="74" t="s">
        <v>30</v>
      </c>
      <c r="E853" s="74" t="s">
        <v>31</v>
      </c>
      <c r="F853" s="80">
        <v>50.288422467680476</v>
      </c>
    </row>
    <row r="854">
      <c r="A854" s="76">
        <v>89.0</v>
      </c>
      <c r="B854" s="74" t="s">
        <v>135</v>
      </c>
      <c r="C854" s="74" t="s">
        <v>136</v>
      </c>
      <c r="D854" s="74" t="s">
        <v>30</v>
      </c>
      <c r="E854" s="74" t="s">
        <v>35</v>
      </c>
      <c r="F854" s="77">
        <v>15.508422467680473</v>
      </c>
    </row>
    <row r="855">
      <c r="A855" s="76">
        <v>39.0</v>
      </c>
      <c r="B855" s="74" t="s">
        <v>89</v>
      </c>
      <c r="C855" s="74" t="s">
        <v>90</v>
      </c>
      <c r="D855" s="74" t="s">
        <v>11</v>
      </c>
      <c r="E855" s="74" t="s">
        <v>91</v>
      </c>
      <c r="F855" s="80">
        <v>1.7884224676804739</v>
      </c>
    </row>
    <row r="856">
      <c r="A856" s="76">
        <v>21.0</v>
      </c>
      <c r="B856" s="74" t="s">
        <v>186</v>
      </c>
      <c r="C856" s="74" t="s">
        <v>187</v>
      </c>
      <c r="D856" s="74" t="s">
        <v>30</v>
      </c>
      <c r="E856" s="74" t="s">
        <v>46</v>
      </c>
      <c r="F856" s="77">
        <v>11.438422467680473</v>
      </c>
    </row>
    <row r="857">
      <c r="A857" s="76">
        <v>73.0</v>
      </c>
      <c r="B857" s="74" t="s">
        <v>223</v>
      </c>
      <c r="C857" s="74" t="s">
        <v>224</v>
      </c>
      <c r="D857" s="74" t="s">
        <v>30</v>
      </c>
      <c r="E857" s="74" t="s">
        <v>56</v>
      </c>
      <c r="F857" s="80">
        <v>67.69842246768047</v>
      </c>
    </row>
    <row r="858">
      <c r="A858" s="76">
        <v>25.0</v>
      </c>
      <c r="B858" s="74" t="s">
        <v>154</v>
      </c>
      <c r="C858" s="74" t="s">
        <v>155</v>
      </c>
      <c r="D858" s="74" t="s">
        <v>30</v>
      </c>
      <c r="E858" s="74" t="s">
        <v>31</v>
      </c>
      <c r="F858" s="77">
        <v>46.66842246768047</v>
      </c>
    </row>
    <row r="859">
      <c r="A859" s="76">
        <v>56.0</v>
      </c>
      <c r="B859" s="74" t="s">
        <v>127</v>
      </c>
      <c r="C859" s="74" t="s">
        <v>128</v>
      </c>
      <c r="D859" s="74" t="s">
        <v>11</v>
      </c>
      <c r="E859" s="74" t="s">
        <v>46</v>
      </c>
      <c r="F859" s="80">
        <v>10.988422467680474</v>
      </c>
    </row>
    <row r="860">
      <c r="A860" s="76">
        <v>70.0</v>
      </c>
      <c r="B860" s="74" t="s">
        <v>152</v>
      </c>
      <c r="C860" s="74" t="s">
        <v>153</v>
      </c>
      <c r="D860" s="74" t="s">
        <v>11</v>
      </c>
      <c r="E860" s="74" t="s">
        <v>12</v>
      </c>
      <c r="F860" s="77">
        <v>9.368422467680473</v>
      </c>
    </row>
    <row r="861">
      <c r="A861" s="76">
        <v>84.0</v>
      </c>
      <c r="B861" s="74" t="s">
        <v>141</v>
      </c>
      <c r="C861" s="74" t="s">
        <v>142</v>
      </c>
      <c r="D861" s="74" t="s">
        <v>30</v>
      </c>
      <c r="E861" s="74" t="s">
        <v>35</v>
      </c>
      <c r="F861" s="80">
        <v>13.598422467680473</v>
      </c>
    </row>
    <row r="862">
      <c r="A862" s="76">
        <v>62.0</v>
      </c>
      <c r="B862" s="74" t="s">
        <v>156</v>
      </c>
      <c r="C862" s="74" t="s">
        <v>157</v>
      </c>
      <c r="D862" s="74" t="s">
        <v>11</v>
      </c>
      <c r="E862" s="74" t="s">
        <v>46</v>
      </c>
      <c r="F862" s="77">
        <v>11.148422467680474</v>
      </c>
    </row>
    <row r="863">
      <c r="A863" s="76">
        <v>97.0</v>
      </c>
      <c r="B863" s="74" t="s">
        <v>69</v>
      </c>
      <c r="C863" s="74" t="s">
        <v>70</v>
      </c>
      <c r="D863" s="74" t="s">
        <v>11</v>
      </c>
      <c r="E863" s="74" t="s">
        <v>82</v>
      </c>
      <c r="F863" s="80">
        <v>11.038422467680473</v>
      </c>
    </row>
    <row r="864">
      <c r="A864" s="76">
        <v>35.0</v>
      </c>
      <c r="B864" s="74" t="s">
        <v>125</v>
      </c>
      <c r="C864" s="74" t="s">
        <v>126</v>
      </c>
      <c r="D864" s="74" t="s">
        <v>30</v>
      </c>
      <c r="E864" s="74" t="s">
        <v>91</v>
      </c>
      <c r="F864" s="77">
        <v>2.648422467680474</v>
      </c>
    </row>
    <row r="865">
      <c r="A865" s="76">
        <v>23.0</v>
      </c>
      <c r="B865" s="74" t="s">
        <v>235</v>
      </c>
      <c r="C865" s="74" t="s">
        <v>236</v>
      </c>
      <c r="D865" s="74" t="s">
        <v>30</v>
      </c>
      <c r="E865" s="74" t="s">
        <v>46</v>
      </c>
      <c r="F865" s="80">
        <v>12.538422467680473</v>
      </c>
    </row>
    <row r="866">
      <c r="A866" s="76">
        <v>66.0</v>
      </c>
      <c r="B866" s="74" t="s">
        <v>150</v>
      </c>
      <c r="C866" s="74" t="s">
        <v>158</v>
      </c>
      <c r="D866" s="74" t="s">
        <v>11</v>
      </c>
      <c r="E866" s="74" t="s">
        <v>35</v>
      </c>
      <c r="F866" s="77">
        <v>18.658422467680474</v>
      </c>
    </row>
    <row r="867">
      <c r="A867" s="76">
        <v>67.0</v>
      </c>
      <c r="B867" s="74" t="s">
        <v>204</v>
      </c>
      <c r="C867" s="74" t="s">
        <v>205</v>
      </c>
      <c r="D867" s="74" t="s">
        <v>11</v>
      </c>
      <c r="E867" s="74" t="s">
        <v>46</v>
      </c>
      <c r="F867" s="80">
        <v>14.018422467680473</v>
      </c>
    </row>
    <row r="868">
      <c r="A868" s="76">
        <v>28.0</v>
      </c>
      <c r="B868" s="74" t="s">
        <v>77</v>
      </c>
      <c r="C868" s="74" t="s">
        <v>78</v>
      </c>
      <c r="D868" s="74" t="s">
        <v>30</v>
      </c>
      <c r="E868" s="74" t="s">
        <v>72</v>
      </c>
      <c r="F868" s="77">
        <v>13.888422467680472</v>
      </c>
    </row>
    <row r="869">
      <c r="A869" s="76">
        <v>38.0</v>
      </c>
      <c r="B869" s="74" t="s">
        <v>116</v>
      </c>
      <c r="C869" s="74" t="s">
        <v>117</v>
      </c>
      <c r="D869" s="74" t="s">
        <v>30</v>
      </c>
      <c r="E869" s="74" t="s">
        <v>88</v>
      </c>
      <c r="F869" s="80">
        <v>39.438422467680475</v>
      </c>
    </row>
    <row r="870">
      <c r="A870" s="76">
        <v>30.0</v>
      </c>
      <c r="B870" s="74" t="s">
        <v>9</v>
      </c>
      <c r="C870" s="74" t="s">
        <v>10</v>
      </c>
      <c r="D870" s="74" t="s">
        <v>11</v>
      </c>
      <c r="E870" s="74" t="s">
        <v>91</v>
      </c>
      <c r="F870" s="77">
        <v>2.268422467680474</v>
      </c>
    </row>
    <row r="871">
      <c r="A871" s="76">
        <v>96.0</v>
      </c>
      <c r="B871" s="74" t="s">
        <v>163</v>
      </c>
      <c r="C871" s="74" t="s">
        <v>164</v>
      </c>
      <c r="D871" s="74" t="s">
        <v>11</v>
      </c>
      <c r="E871" s="74" t="s">
        <v>12</v>
      </c>
      <c r="F871" s="80">
        <v>9.478422467680472</v>
      </c>
    </row>
    <row r="872">
      <c r="A872" s="76">
        <v>96.0</v>
      </c>
      <c r="B872" s="74" t="s">
        <v>163</v>
      </c>
      <c r="C872" s="74" t="s">
        <v>164</v>
      </c>
      <c r="D872" s="74" t="s">
        <v>11</v>
      </c>
      <c r="E872" s="74" t="s">
        <v>68</v>
      </c>
      <c r="F872" s="77">
        <v>11.458422467680473</v>
      </c>
    </row>
    <row r="873">
      <c r="A873" s="76">
        <v>8.0</v>
      </c>
      <c r="B873" s="74" t="s">
        <v>108</v>
      </c>
      <c r="C873" s="74" t="s">
        <v>109</v>
      </c>
      <c r="D873" s="74" t="s">
        <v>11</v>
      </c>
      <c r="E873" s="74" t="s">
        <v>43</v>
      </c>
      <c r="F873" s="80">
        <v>15.568422467680472</v>
      </c>
    </row>
    <row r="874">
      <c r="A874" s="76">
        <v>32.0</v>
      </c>
      <c r="B874" s="74" t="s">
        <v>146</v>
      </c>
      <c r="C874" s="74" t="s">
        <v>147</v>
      </c>
      <c r="D874" s="74" t="s">
        <v>30</v>
      </c>
      <c r="E874" s="74" t="s">
        <v>43</v>
      </c>
      <c r="F874" s="77">
        <v>19.068422467680474</v>
      </c>
    </row>
    <row r="875">
      <c r="A875" s="76">
        <v>87.0</v>
      </c>
      <c r="B875" s="74" t="s">
        <v>243</v>
      </c>
      <c r="C875" s="74" t="s">
        <v>244</v>
      </c>
      <c r="D875" s="74" t="s">
        <v>11</v>
      </c>
      <c r="E875" s="74" t="s">
        <v>88</v>
      </c>
      <c r="F875" s="80">
        <v>36.87842246768047</v>
      </c>
    </row>
    <row r="876">
      <c r="A876" s="76">
        <v>35.0</v>
      </c>
      <c r="B876" s="74" t="s">
        <v>125</v>
      </c>
      <c r="C876" s="74" t="s">
        <v>126</v>
      </c>
      <c r="D876" s="74" t="s">
        <v>11</v>
      </c>
      <c r="E876" s="74" t="s">
        <v>43</v>
      </c>
      <c r="F876" s="77">
        <v>18.848422467680475</v>
      </c>
    </row>
    <row r="877">
      <c r="A877" s="76">
        <v>15.0</v>
      </c>
      <c r="B877" s="74" t="s">
        <v>58</v>
      </c>
      <c r="C877" s="74" t="s">
        <v>59</v>
      </c>
      <c r="D877" s="74" t="s">
        <v>30</v>
      </c>
      <c r="E877" s="74" t="s">
        <v>43</v>
      </c>
      <c r="F877" s="80">
        <v>17.578422467680475</v>
      </c>
    </row>
    <row r="878">
      <c r="A878" s="76">
        <v>13.0</v>
      </c>
      <c r="B878" s="74" t="s">
        <v>137</v>
      </c>
      <c r="C878" s="74" t="s">
        <v>138</v>
      </c>
      <c r="D878" s="74" t="s">
        <v>30</v>
      </c>
      <c r="E878" s="74" t="s">
        <v>52</v>
      </c>
      <c r="F878" s="77">
        <v>55.218422467680476</v>
      </c>
    </row>
    <row r="879">
      <c r="A879" s="76">
        <v>15.0</v>
      </c>
      <c r="B879" s="74" t="s">
        <v>58</v>
      </c>
      <c r="C879" s="74" t="s">
        <v>59</v>
      </c>
      <c r="D879" s="74" t="s">
        <v>11</v>
      </c>
      <c r="E879" s="74" t="s">
        <v>35</v>
      </c>
      <c r="F879" s="80">
        <v>13.708422467680473</v>
      </c>
    </row>
    <row r="880">
      <c r="A880" s="76">
        <v>36.0</v>
      </c>
      <c r="B880" s="74" t="s">
        <v>92</v>
      </c>
      <c r="C880" s="74" t="s">
        <v>93</v>
      </c>
      <c r="D880" s="74" t="s">
        <v>11</v>
      </c>
      <c r="E880" s="74" t="s">
        <v>43</v>
      </c>
      <c r="F880" s="77">
        <v>15.458422467680473</v>
      </c>
    </row>
    <row r="881">
      <c r="A881" s="76">
        <v>97.0</v>
      </c>
      <c r="B881" s="74" t="s">
        <v>69</v>
      </c>
      <c r="C881" s="74" t="s">
        <v>70</v>
      </c>
      <c r="D881" s="74" t="s">
        <v>11</v>
      </c>
      <c r="E881" s="74" t="s">
        <v>68</v>
      </c>
      <c r="F881" s="80">
        <v>6.408422467680474</v>
      </c>
    </row>
    <row r="882">
      <c r="A882" s="76">
        <v>17.0</v>
      </c>
      <c r="B882" s="74" t="s">
        <v>200</v>
      </c>
      <c r="C882" s="74" t="s">
        <v>201</v>
      </c>
      <c r="D882" s="74" t="s">
        <v>30</v>
      </c>
      <c r="E882" s="74" t="s">
        <v>97</v>
      </c>
      <c r="F882" s="77">
        <v>2.428422467680474</v>
      </c>
    </row>
    <row r="883">
      <c r="A883" s="76">
        <v>37.0</v>
      </c>
      <c r="B883" s="74" t="s">
        <v>245</v>
      </c>
      <c r="C883" s="74" t="s">
        <v>246</v>
      </c>
      <c r="D883" s="74" t="s">
        <v>30</v>
      </c>
      <c r="E883" s="74" t="s">
        <v>56</v>
      </c>
      <c r="F883" s="80">
        <v>61.67842246768048</v>
      </c>
    </row>
    <row r="884">
      <c r="A884" s="76">
        <v>81.0</v>
      </c>
      <c r="B884" s="74" t="s">
        <v>54</v>
      </c>
      <c r="C884" s="74" t="s">
        <v>55</v>
      </c>
      <c r="D884" s="74" t="s">
        <v>30</v>
      </c>
      <c r="E884" s="74" t="s">
        <v>39</v>
      </c>
      <c r="F884" s="77">
        <v>37.34842246768047</v>
      </c>
    </row>
    <row r="885">
      <c r="A885" s="76">
        <v>92.0</v>
      </c>
      <c r="B885" s="74" t="s">
        <v>112</v>
      </c>
      <c r="C885" s="74" t="s">
        <v>197</v>
      </c>
      <c r="D885" s="74" t="s">
        <v>30</v>
      </c>
      <c r="E885" s="74" t="s">
        <v>72</v>
      </c>
      <c r="F885" s="80">
        <v>20.308422467680476</v>
      </c>
    </row>
    <row r="886">
      <c r="A886" s="76">
        <v>71.0</v>
      </c>
      <c r="B886" s="74" t="s">
        <v>150</v>
      </c>
      <c r="C886" s="74" t="s">
        <v>151</v>
      </c>
      <c r="D886" s="74" t="s">
        <v>11</v>
      </c>
      <c r="E886" s="74" t="s">
        <v>56</v>
      </c>
      <c r="F886" s="77">
        <v>58.95842246768048</v>
      </c>
    </row>
    <row r="887">
      <c r="A887" s="76">
        <v>67.0</v>
      </c>
      <c r="B887" s="74" t="s">
        <v>204</v>
      </c>
      <c r="C887" s="74" t="s">
        <v>205</v>
      </c>
      <c r="D887" s="74" t="s">
        <v>11</v>
      </c>
      <c r="E887" s="74" t="s">
        <v>46</v>
      </c>
      <c r="F887" s="80">
        <v>12.888422467680472</v>
      </c>
    </row>
    <row r="888">
      <c r="A888" s="76">
        <v>11.0</v>
      </c>
      <c r="B888" s="74" t="s">
        <v>227</v>
      </c>
      <c r="C888" s="74" t="s">
        <v>228</v>
      </c>
      <c r="D888" s="74" t="s">
        <v>30</v>
      </c>
      <c r="E888" s="74" t="s">
        <v>85</v>
      </c>
      <c r="F888" s="77">
        <v>11.458422467680473</v>
      </c>
    </row>
    <row r="889">
      <c r="A889" s="76">
        <v>8.0</v>
      </c>
      <c r="B889" s="74" t="s">
        <v>108</v>
      </c>
      <c r="C889" s="74" t="s">
        <v>109</v>
      </c>
      <c r="D889" s="74" t="s">
        <v>11</v>
      </c>
      <c r="E889" s="74" t="s">
        <v>76</v>
      </c>
      <c r="F889" s="80">
        <v>10.118422467680473</v>
      </c>
    </row>
    <row r="890">
      <c r="A890" s="76">
        <v>66.0</v>
      </c>
      <c r="B890" s="74" t="s">
        <v>150</v>
      </c>
      <c r="C890" s="74" t="s">
        <v>158</v>
      </c>
      <c r="D890" s="74" t="s">
        <v>11</v>
      </c>
      <c r="E890" s="74" t="s">
        <v>52</v>
      </c>
      <c r="F890" s="77">
        <v>65.73842246768046</v>
      </c>
    </row>
    <row r="891">
      <c r="A891" s="76">
        <v>76.0</v>
      </c>
      <c r="B891" s="74" t="s">
        <v>213</v>
      </c>
      <c r="C891" s="74" t="s">
        <v>214</v>
      </c>
      <c r="D891" s="74" t="s">
        <v>11</v>
      </c>
      <c r="E891" s="74" t="s">
        <v>68</v>
      </c>
      <c r="F891" s="80">
        <v>10.718422467680472</v>
      </c>
    </row>
    <row r="892">
      <c r="A892" s="76">
        <v>4.0</v>
      </c>
      <c r="B892" s="74" t="s">
        <v>118</v>
      </c>
      <c r="C892" s="74" t="s">
        <v>119</v>
      </c>
      <c r="D892" s="74" t="s">
        <v>11</v>
      </c>
      <c r="E892" s="74" t="s">
        <v>43</v>
      </c>
      <c r="F892" s="77">
        <v>17.458422467680474</v>
      </c>
    </row>
    <row r="893">
      <c r="A893" s="76">
        <v>19.0</v>
      </c>
      <c r="B893" s="74" t="s">
        <v>41</v>
      </c>
      <c r="C893" s="74" t="s">
        <v>193</v>
      </c>
      <c r="D893" s="74" t="s">
        <v>11</v>
      </c>
      <c r="E893" s="74" t="s">
        <v>76</v>
      </c>
      <c r="F893" s="80">
        <v>10.568422467680474</v>
      </c>
    </row>
    <row r="894">
      <c r="A894" s="76">
        <v>93.0</v>
      </c>
      <c r="B894" s="74" t="s">
        <v>129</v>
      </c>
      <c r="C894" s="74" t="s">
        <v>130</v>
      </c>
      <c r="D894" s="74" t="s">
        <v>11</v>
      </c>
      <c r="E894" s="74" t="s">
        <v>82</v>
      </c>
      <c r="F894" s="77">
        <v>11.268422467680473</v>
      </c>
    </row>
    <row r="895">
      <c r="A895" s="76">
        <v>64.0</v>
      </c>
      <c r="B895" s="74" t="s">
        <v>159</v>
      </c>
      <c r="C895" s="74" t="s">
        <v>160</v>
      </c>
      <c r="D895" s="74" t="s">
        <v>11</v>
      </c>
      <c r="E895" s="74" t="s">
        <v>72</v>
      </c>
      <c r="F895" s="80">
        <v>18.038422467680476</v>
      </c>
    </row>
    <row r="896">
      <c r="A896" s="76">
        <v>53.0</v>
      </c>
      <c r="B896" s="74" t="s">
        <v>241</v>
      </c>
      <c r="C896" s="74" t="s">
        <v>242</v>
      </c>
      <c r="D896" s="74" t="s">
        <v>11</v>
      </c>
      <c r="E896" s="74" t="s">
        <v>39</v>
      </c>
      <c r="F896" s="77">
        <v>32.26842246768047</v>
      </c>
    </row>
    <row r="897">
      <c r="A897" s="76">
        <v>54.0</v>
      </c>
      <c r="B897" s="74" t="s">
        <v>86</v>
      </c>
      <c r="C897" s="74" t="s">
        <v>87</v>
      </c>
      <c r="D897" s="74" t="s">
        <v>11</v>
      </c>
      <c r="E897" s="74" t="s">
        <v>46</v>
      </c>
      <c r="F897" s="80">
        <v>13.738422467680474</v>
      </c>
    </row>
    <row r="898">
      <c r="A898" s="76">
        <v>65.0</v>
      </c>
      <c r="B898" s="74" t="s">
        <v>209</v>
      </c>
      <c r="C898" s="74" t="s">
        <v>210</v>
      </c>
      <c r="D898" s="74" t="s">
        <v>11</v>
      </c>
      <c r="E898" s="74" t="s">
        <v>50</v>
      </c>
      <c r="F898" s="77">
        <v>21.908422467680474</v>
      </c>
    </row>
    <row r="899">
      <c r="A899" s="76">
        <v>58.0</v>
      </c>
      <c r="B899" s="74" t="s">
        <v>165</v>
      </c>
      <c r="C899" s="74" t="s">
        <v>166</v>
      </c>
      <c r="D899" s="74" t="s">
        <v>11</v>
      </c>
      <c r="E899" s="74" t="s">
        <v>82</v>
      </c>
      <c r="F899" s="80">
        <v>13.768422467680473</v>
      </c>
    </row>
    <row r="900">
      <c r="A900" s="76">
        <v>24.0</v>
      </c>
      <c r="B900" s="74" t="s">
        <v>139</v>
      </c>
      <c r="C900" s="74" t="s">
        <v>140</v>
      </c>
      <c r="D900" s="74" t="s">
        <v>11</v>
      </c>
      <c r="E900" s="74" t="s">
        <v>88</v>
      </c>
      <c r="F900" s="77">
        <v>40.81842246768048</v>
      </c>
    </row>
    <row r="901">
      <c r="A901" s="76">
        <v>70.0</v>
      </c>
      <c r="B901" s="74" t="s">
        <v>152</v>
      </c>
      <c r="C901" s="74" t="s">
        <v>153</v>
      </c>
      <c r="D901" s="74" t="s">
        <v>30</v>
      </c>
      <c r="E901" s="74" t="s">
        <v>68</v>
      </c>
      <c r="F901" s="80">
        <v>18.158422467680474</v>
      </c>
    </row>
    <row r="902">
      <c r="A902" s="76">
        <v>92.0</v>
      </c>
      <c r="B902" s="74" t="s">
        <v>112</v>
      </c>
      <c r="C902" s="74" t="s">
        <v>197</v>
      </c>
      <c r="D902" s="74" t="s">
        <v>30</v>
      </c>
      <c r="E902" s="74" t="s">
        <v>68</v>
      </c>
      <c r="F902" s="77">
        <v>12.638422467680472</v>
      </c>
    </row>
    <row r="903">
      <c r="A903" s="76">
        <v>68.0</v>
      </c>
      <c r="B903" s="74" t="s">
        <v>41</v>
      </c>
      <c r="C903" s="74" t="s">
        <v>42</v>
      </c>
      <c r="D903" s="74" t="s">
        <v>30</v>
      </c>
      <c r="E903" s="74" t="s">
        <v>12</v>
      </c>
      <c r="F903" s="80">
        <v>9.428422467680473</v>
      </c>
    </row>
    <row r="904">
      <c r="A904" s="76">
        <v>12.0</v>
      </c>
      <c r="B904" s="74" t="s">
        <v>188</v>
      </c>
      <c r="C904" s="74" t="s">
        <v>189</v>
      </c>
      <c r="D904" s="74" t="s">
        <v>11</v>
      </c>
      <c r="E904" s="74" t="s">
        <v>82</v>
      </c>
      <c r="F904" s="77">
        <v>13.818422467680474</v>
      </c>
    </row>
    <row r="905">
      <c r="A905" s="76">
        <v>1.0</v>
      </c>
      <c r="B905" s="74" t="s">
        <v>194</v>
      </c>
      <c r="C905" s="74" t="s">
        <v>195</v>
      </c>
      <c r="D905" s="74" t="s">
        <v>11</v>
      </c>
      <c r="E905" s="74" t="s">
        <v>88</v>
      </c>
      <c r="F905" s="80">
        <v>40.978422467680474</v>
      </c>
    </row>
    <row r="906">
      <c r="A906" s="76">
        <v>17.0</v>
      </c>
      <c r="B906" s="74" t="s">
        <v>200</v>
      </c>
      <c r="C906" s="74" t="s">
        <v>201</v>
      </c>
      <c r="D906" s="74" t="s">
        <v>30</v>
      </c>
      <c r="E906" s="74" t="s">
        <v>31</v>
      </c>
      <c r="F906" s="77">
        <v>39.19842246768047</v>
      </c>
    </row>
    <row r="907">
      <c r="A907" s="76">
        <v>100.0</v>
      </c>
      <c r="B907" s="74" t="s">
        <v>48</v>
      </c>
      <c r="C907" s="74" t="s">
        <v>49</v>
      </c>
      <c r="D907" s="74" t="s">
        <v>11</v>
      </c>
      <c r="E907" s="74" t="s">
        <v>72</v>
      </c>
      <c r="F907" s="80">
        <v>17.558422467680476</v>
      </c>
    </row>
    <row r="908">
      <c r="A908" s="76">
        <v>16.0</v>
      </c>
      <c r="B908" s="74" t="s">
        <v>175</v>
      </c>
      <c r="C908" s="74" t="s">
        <v>176</v>
      </c>
      <c r="D908" s="74" t="s">
        <v>11</v>
      </c>
      <c r="E908" s="74" t="s">
        <v>85</v>
      </c>
      <c r="F908" s="77">
        <v>10.708422467680473</v>
      </c>
    </row>
    <row r="909">
      <c r="A909" s="76">
        <v>35.0</v>
      </c>
      <c r="B909" s="74" t="s">
        <v>125</v>
      </c>
      <c r="C909" s="74" t="s">
        <v>126</v>
      </c>
      <c r="D909" s="74" t="s">
        <v>30</v>
      </c>
      <c r="E909" s="74" t="s">
        <v>68</v>
      </c>
      <c r="F909" s="80">
        <v>8.868422467680473</v>
      </c>
    </row>
    <row r="910">
      <c r="A910" s="76">
        <v>100.0</v>
      </c>
      <c r="B910" s="74" t="s">
        <v>48</v>
      </c>
      <c r="C910" s="74" t="s">
        <v>49</v>
      </c>
      <c r="D910" s="74" t="s">
        <v>11</v>
      </c>
      <c r="E910" s="74" t="s">
        <v>52</v>
      </c>
      <c r="F910" s="77">
        <v>63.88842246768048</v>
      </c>
    </row>
    <row r="911">
      <c r="A911" s="76">
        <v>91.0</v>
      </c>
      <c r="B911" s="74" t="s">
        <v>112</v>
      </c>
      <c r="C911" s="74" t="s">
        <v>113</v>
      </c>
      <c r="D911" s="74" t="s">
        <v>11</v>
      </c>
      <c r="E911" s="74" t="s">
        <v>88</v>
      </c>
      <c r="F911" s="80">
        <v>34.938422467680475</v>
      </c>
    </row>
    <row r="912">
      <c r="A912" s="76">
        <v>23.0</v>
      </c>
      <c r="B912" s="74" t="s">
        <v>235</v>
      </c>
      <c r="C912" s="74" t="s">
        <v>236</v>
      </c>
      <c r="D912" s="74" t="s">
        <v>11</v>
      </c>
      <c r="E912" s="74" t="s">
        <v>97</v>
      </c>
      <c r="F912" s="77">
        <v>3.8784224676804744</v>
      </c>
    </row>
    <row r="913">
      <c r="A913" s="76">
        <v>55.0</v>
      </c>
      <c r="B913" s="74" t="s">
        <v>202</v>
      </c>
      <c r="C913" s="74" t="s">
        <v>203</v>
      </c>
      <c r="D913" s="74" t="s">
        <v>30</v>
      </c>
      <c r="E913" s="74" t="s">
        <v>91</v>
      </c>
      <c r="F913" s="80">
        <v>0.6484224676804737</v>
      </c>
    </row>
    <row r="914">
      <c r="A914" s="76">
        <v>42.0</v>
      </c>
      <c r="B914" s="74" t="s">
        <v>92</v>
      </c>
      <c r="C914" s="74" t="s">
        <v>170</v>
      </c>
      <c r="D914" s="74" t="s">
        <v>30</v>
      </c>
      <c r="E914" s="74" t="s">
        <v>82</v>
      </c>
      <c r="F914" s="77">
        <v>13.968422467680472</v>
      </c>
    </row>
    <row r="915">
      <c r="A915" s="76">
        <v>27.0</v>
      </c>
      <c r="B915" s="74" t="s">
        <v>173</v>
      </c>
      <c r="C915" s="74" t="s">
        <v>174</v>
      </c>
      <c r="D915" s="74" t="s">
        <v>11</v>
      </c>
      <c r="E915" s="74" t="s">
        <v>76</v>
      </c>
      <c r="F915" s="80">
        <v>10.778422467680473</v>
      </c>
    </row>
    <row r="916">
      <c r="A916" s="76">
        <v>37.0</v>
      </c>
      <c r="B916" s="74" t="s">
        <v>245</v>
      </c>
      <c r="C916" s="74" t="s">
        <v>246</v>
      </c>
      <c r="D916" s="74" t="s">
        <v>30</v>
      </c>
      <c r="E916" s="74" t="s">
        <v>72</v>
      </c>
      <c r="F916" s="77">
        <v>16.588422467680473</v>
      </c>
    </row>
    <row r="917">
      <c r="A917" s="76">
        <v>63.0</v>
      </c>
      <c r="B917" s="74" t="s">
        <v>225</v>
      </c>
      <c r="C917" s="74" t="s">
        <v>226</v>
      </c>
      <c r="D917" s="74" t="s">
        <v>30</v>
      </c>
      <c r="E917" s="74" t="s">
        <v>72</v>
      </c>
      <c r="F917" s="80">
        <v>16.278422467680475</v>
      </c>
    </row>
    <row r="918">
      <c r="A918" s="76">
        <v>71.0</v>
      </c>
      <c r="B918" s="74" t="s">
        <v>150</v>
      </c>
      <c r="C918" s="74" t="s">
        <v>151</v>
      </c>
      <c r="D918" s="74" t="s">
        <v>11</v>
      </c>
      <c r="E918" s="74" t="s">
        <v>31</v>
      </c>
      <c r="F918" s="77">
        <v>36.508422467680475</v>
      </c>
    </row>
    <row r="919">
      <c r="A919" s="76">
        <v>97.0</v>
      </c>
      <c r="B919" s="74" t="s">
        <v>69</v>
      </c>
      <c r="C919" s="74" t="s">
        <v>70</v>
      </c>
      <c r="D919" s="74" t="s">
        <v>11</v>
      </c>
      <c r="E919" s="74" t="s">
        <v>72</v>
      </c>
      <c r="F919" s="80">
        <v>16.328422467680475</v>
      </c>
    </row>
    <row r="920">
      <c r="A920" s="76">
        <v>34.0</v>
      </c>
      <c r="B920" s="74" t="s">
        <v>177</v>
      </c>
      <c r="C920" s="74" t="s">
        <v>178</v>
      </c>
      <c r="D920" s="74" t="s">
        <v>11</v>
      </c>
      <c r="E920" s="74" t="s">
        <v>12</v>
      </c>
      <c r="F920" s="77">
        <v>9.378422467680473</v>
      </c>
    </row>
    <row r="921">
      <c r="A921" s="76">
        <v>69.0</v>
      </c>
      <c r="B921" s="74" t="s">
        <v>108</v>
      </c>
      <c r="C921" s="74" t="s">
        <v>145</v>
      </c>
      <c r="D921" s="74" t="s">
        <v>30</v>
      </c>
      <c r="E921" s="74" t="s">
        <v>97</v>
      </c>
      <c r="F921" s="80">
        <v>4.338422467680474</v>
      </c>
    </row>
    <row r="922">
      <c r="A922" s="76">
        <v>60.0</v>
      </c>
      <c r="B922" s="74" t="s">
        <v>65</v>
      </c>
      <c r="C922" s="74" t="s">
        <v>66</v>
      </c>
      <c r="D922" s="74" t="s">
        <v>30</v>
      </c>
      <c r="E922" s="74" t="s">
        <v>76</v>
      </c>
      <c r="F922" s="77">
        <v>10.668422467680474</v>
      </c>
    </row>
    <row r="923">
      <c r="A923" s="76">
        <v>94.0</v>
      </c>
      <c r="B923" s="74" t="s">
        <v>207</v>
      </c>
      <c r="C923" s="74" t="s">
        <v>237</v>
      </c>
      <c r="D923" s="74" t="s">
        <v>30</v>
      </c>
      <c r="E923" s="74" t="s">
        <v>88</v>
      </c>
      <c r="F923" s="80">
        <v>36.27842246768048</v>
      </c>
    </row>
    <row r="924">
      <c r="A924" s="76">
        <v>99.0</v>
      </c>
      <c r="B924" s="74" t="s">
        <v>73</v>
      </c>
      <c r="C924" s="74" t="s">
        <v>74</v>
      </c>
      <c r="D924" s="74" t="s">
        <v>11</v>
      </c>
      <c r="E924" s="74" t="s">
        <v>35</v>
      </c>
      <c r="F924" s="77">
        <v>16.568422467680474</v>
      </c>
    </row>
    <row r="925">
      <c r="A925" s="76">
        <v>86.0</v>
      </c>
      <c r="B925" s="74" t="s">
        <v>62</v>
      </c>
      <c r="C925" s="74" t="s">
        <v>63</v>
      </c>
      <c r="D925" s="74" t="s">
        <v>11</v>
      </c>
      <c r="E925" s="74" t="s">
        <v>94</v>
      </c>
      <c r="F925" s="80">
        <v>31.34842246768047</v>
      </c>
    </row>
    <row r="926">
      <c r="A926" s="76">
        <v>50.0</v>
      </c>
      <c r="B926" s="74" t="s">
        <v>33</v>
      </c>
      <c r="C926" s="74" t="s">
        <v>34</v>
      </c>
      <c r="D926" s="74" t="s">
        <v>30</v>
      </c>
      <c r="E926" s="74" t="s">
        <v>88</v>
      </c>
      <c r="F926" s="77">
        <v>31.858422467680477</v>
      </c>
    </row>
    <row r="927">
      <c r="A927" s="76">
        <v>46.0</v>
      </c>
      <c r="B927" s="74" t="s">
        <v>143</v>
      </c>
      <c r="C927" s="74" t="s">
        <v>144</v>
      </c>
      <c r="D927" s="74" t="s">
        <v>11</v>
      </c>
      <c r="E927" s="74" t="s">
        <v>85</v>
      </c>
      <c r="F927" s="80">
        <v>12.628422467680473</v>
      </c>
    </row>
    <row r="928">
      <c r="A928" s="76">
        <v>42.0</v>
      </c>
      <c r="B928" s="74" t="s">
        <v>92</v>
      </c>
      <c r="C928" s="74" t="s">
        <v>170</v>
      </c>
      <c r="D928" s="74" t="s">
        <v>11</v>
      </c>
      <c r="E928" s="74" t="s">
        <v>12</v>
      </c>
      <c r="F928" s="77">
        <v>9.118422467680473</v>
      </c>
    </row>
    <row r="929">
      <c r="A929" s="76">
        <v>42.0</v>
      </c>
      <c r="B929" s="74" t="s">
        <v>92</v>
      </c>
      <c r="C929" s="74" t="s">
        <v>170</v>
      </c>
      <c r="D929" s="74" t="s">
        <v>30</v>
      </c>
      <c r="E929" s="74" t="s">
        <v>31</v>
      </c>
      <c r="F929" s="80">
        <v>36.76842246768047</v>
      </c>
    </row>
    <row r="930">
      <c r="A930" s="76">
        <v>63.0</v>
      </c>
      <c r="B930" s="74" t="s">
        <v>225</v>
      </c>
      <c r="C930" s="74" t="s">
        <v>226</v>
      </c>
      <c r="D930" s="74" t="s">
        <v>11</v>
      </c>
      <c r="E930" s="74" t="s">
        <v>94</v>
      </c>
      <c r="F930" s="77">
        <v>24.728422467680474</v>
      </c>
    </row>
    <row r="931">
      <c r="A931" s="76">
        <v>94.0</v>
      </c>
      <c r="B931" s="74" t="s">
        <v>207</v>
      </c>
      <c r="C931" s="74" t="s">
        <v>237</v>
      </c>
      <c r="D931" s="74" t="s">
        <v>11</v>
      </c>
      <c r="E931" s="74" t="s">
        <v>43</v>
      </c>
      <c r="F931" s="80">
        <v>12.988422467680474</v>
      </c>
    </row>
    <row r="932">
      <c r="A932" s="76">
        <v>6.0</v>
      </c>
      <c r="B932" s="74" t="s">
        <v>183</v>
      </c>
      <c r="C932" s="74" t="s">
        <v>184</v>
      </c>
      <c r="D932" s="74" t="s">
        <v>11</v>
      </c>
      <c r="E932" s="74" t="s">
        <v>79</v>
      </c>
      <c r="F932" s="77">
        <v>30.168422467680475</v>
      </c>
    </row>
    <row r="933">
      <c r="A933" s="76">
        <v>45.0</v>
      </c>
      <c r="B933" s="74" t="s">
        <v>221</v>
      </c>
      <c r="C933" s="74" t="s">
        <v>222</v>
      </c>
      <c r="D933" s="74" t="s">
        <v>30</v>
      </c>
      <c r="E933" s="74" t="s">
        <v>76</v>
      </c>
      <c r="F933" s="80">
        <v>11.108422467680473</v>
      </c>
    </row>
    <row r="934">
      <c r="A934" s="76">
        <v>39.0</v>
      </c>
      <c r="B934" s="74" t="s">
        <v>89</v>
      </c>
      <c r="C934" s="74" t="s">
        <v>90</v>
      </c>
      <c r="D934" s="74" t="s">
        <v>11</v>
      </c>
      <c r="E934" s="74" t="s">
        <v>39</v>
      </c>
      <c r="F934" s="77">
        <v>31.34842246768047</v>
      </c>
    </row>
    <row r="935">
      <c r="A935" s="76">
        <v>35.0</v>
      </c>
      <c r="B935" s="74" t="s">
        <v>125</v>
      </c>
      <c r="C935" s="74" t="s">
        <v>126</v>
      </c>
      <c r="D935" s="74" t="s">
        <v>11</v>
      </c>
      <c r="E935" s="74" t="s">
        <v>85</v>
      </c>
      <c r="F935" s="80">
        <v>12.148422467680474</v>
      </c>
    </row>
    <row r="936">
      <c r="A936" s="76">
        <v>26.0</v>
      </c>
      <c r="B936" s="74" t="s">
        <v>211</v>
      </c>
      <c r="C936" s="74" t="s">
        <v>212</v>
      </c>
      <c r="D936" s="74" t="s">
        <v>11</v>
      </c>
      <c r="E936" s="74" t="s">
        <v>88</v>
      </c>
      <c r="F936" s="77">
        <v>34.728422467680474</v>
      </c>
    </row>
    <row r="937">
      <c r="A937" s="76">
        <v>4.0</v>
      </c>
      <c r="B937" s="74" t="s">
        <v>118</v>
      </c>
      <c r="C937" s="74" t="s">
        <v>119</v>
      </c>
      <c r="D937" s="74" t="s">
        <v>30</v>
      </c>
      <c r="E937" s="74" t="s">
        <v>97</v>
      </c>
      <c r="F937" s="80">
        <v>2.768422467680474</v>
      </c>
    </row>
    <row r="938">
      <c r="A938" s="76">
        <v>91.0</v>
      </c>
      <c r="B938" s="74" t="s">
        <v>112</v>
      </c>
      <c r="C938" s="74" t="s">
        <v>113</v>
      </c>
      <c r="D938" s="74" t="s">
        <v>11</v>
      </c>
      <c r="E938" s="74" t="s">
        <v>68</v>
      </c>
      <c r="F938" s="77">
        <v>14.608422467680473</v>
      </c>
    </row>
    <row r="939">
      <c r="A939" s="76">
        <v>89.0</v>
      </c>
      <c r="B939" s="74" t="s">
        <v>135</v>
      </c>
      <c r="C939" s="74" t="s">
        <v>136</v>
      </c>
      <c r="D939" s="74" t="s">
        <v>11</v>
      </c>
      <c r="E939" s="74" t="s">
        <v>97</v>
      </c>
      <c r="F939" s="80">
        <v>2.7184224676804734</v>
      </c>
    </row>
    <row r="940">
      <c r="A940" s="76">
        <v>79.0</v>
      </c>
      <c r="B940" s="74" t="s">
        <v>101</v>
      </c>
      <c r="C940" s="74" t="s">
        <v>102</v>
      </c>
      <c r="D940" s="74" t="s">
        <v>30</v>
      </c>
      <c r="E940" s="74" t="s">
        <v>35</v>
      </c>
      <c r="F940" s="77">
        <v>19.098422467680475</v>
      </c>
    </row>
    <row r="941">
      <c r="A941" s="76">
        <v>2.0</v>
      </c>
      <c r="B941" s="74" t="s">
        <v>83</v>
      </c>
      <c r="C941" s="74" t="s">
        <v>84</v>
      </c>
      <c r="D941" s="74" t="s">
        <v>30</v>
      </c>
      <c r="E941" s="74" t="s">
        <v>97</v>
      </c>
      <c r="F941" s="80">
        <v>1.9784224676804738</v>
      </c>
    </row>
    <row r="942">
      <c r="A942" s="76">
        <v>64.0</v>
      </c>
      <c r="B942" s="74" t="s">
        <v>159</v>
      </c>
      <c r="C942" s="74" t="s">
        <v>160</v>
      </c>
      <c r="D942" s="74" t="s">
        <v>11</v>
      </c>
      <c r="E942" s="74" t="s">
        <v>91</v>
      </c>
      <c r="F942" s="77">
        <v>2.518422467680474</v>
      </c>
    </row>
    <row r="943">
      <c r="A943" s="76">
        <v>57.0</v>
      </c>
      <c r="B943" s="74" t="s">
        <v>92</v>
      </c>
      <c r="C943" s="74" t="s">
        <v>190</v>
      </c>
      <c r="D943" s="74" t="s">
        <v>11</v>
      </c>
      <c r="E943" s="74" t="s">
        <v>94</v>
      </c>
      <c r="F943" s="80">
        <v>27.068422467680474</v>
      </c>
    </row>
    <row r="944">
      <c r="A944" s="76">
        <v>50.0</v>
      </c>
      <c r="B944" s="74" t="s">
        <v>33</v>
      </c>
      <c r="C944" s="74" t="s">
        <v>34</v>
      </c>
      <c r="D944" s="74" t="s">
        <v>11</v>
      </c>
      <c r="E944" s="74" t="s">
        <v>56</v>
      </c>
      <c r="F944" s="77">
        <v>76.23842246768046</v>
      </c>
    </row>
    <row r="945">
      <c r="A945" s="76">
        <v>99.0</v>
      </c>
      <c r="B945" s="74" t="s">
        <v>73</v>
      </c>
      <c r="C945" s="74" t="s">
        <v>74</v>
      </c>
      <c r="D945" s="74" t="s">
        <v>30</v>
      </c>
      <c r="E945" s="74" t="s">
        <v>43</v>
      </c>
      <c r="F945" s="80">
        <v>18.228422467680474</v>
      </c>
    </row>
    <row r="946">
      <c r="A946" s="76">
        <v>18.0</v>
      </c>
      <c r="B946" s="74" t="s">
        <v>163</v>
      </c>
      <c r="C946" s="74" t="s">
        <v>240</v>
      </c>
      <c r="D946" s="74" t="s">
        <v>11</v>
      </c>
      <c r="E946" s="74" t="s">
        <v>76</v>
      </c>
      <c r="F946" s="77">
        <v>11.398422467680474</v>
      </c>
    </row>
    <row r="947">
      <c r="A947" s="76">
        <v>7.0</v>
      </c>
      <c r="B947" s="74" t="s">
        <v>114</v>
      </c>
      <c r="C947" s="74" t="s">
        <v>115</v>
      </c>
      <c r="D947" s="74" t="s">
        <v>11</v>
      </c>
      <c r="E947" s="74" t="s">
        <v>52</v>
      </c>
      <c r="F947" s="80">
        <v>60.99842246768048</v>
      </c>
    </row>
    <row r="948">
      <c r="A948" s="76">
        <v>6.0</v>
      </c>
      <c r="B948" s="74" t="s">
        <v>183</v>
      </c>
      <c r="C948" s="74" t="s">
        <v>184</v>
      </c>
      <c r="D948" s="74" t="s">
        <v>11</v>
      </c>
      <c r="E948" s="74" t="s">
        <v>60</v>
      </c>
      <c r="F948" s="77">
        <v>35.44842246768047</v>
      </c>
    </row>
    <row r="949">
      <c r="A949" s="76">
        <v>40.0</v>
      </c>
      <c r="B949" s="74" t="s">
        <v>122</v>
      </c>
      <c r="C949" s="74" t="s">
        <v>185</v>
      </c>
      <c r="D949" s="74" t="s">
        <v>30</v>
      </c>
      <c r="E949" s="74" t="s">
        <v>43</v>
      </c>
      <c r="F949" s="80">
        <v>18.758422467680475</v>
      </c>
    </row>
    <row r="950">
      <c r="A950" s="76">
        <v>27.0</v>
      </c>
      <c r="B950" s="74" t="s">
        <v>173</v>
      </c>
      <c r="C950" s="74" t="s">
        <v>174</v>
      </c>
      <c r="D950" s="74" t="s">
        <v>11</v>
      </c>
      <c r="E950" s="74" t="s">
        <v>31</v>
      </c>
      <c r="F950" s="77">
        <v>49.63842246768048</v>
      </c>
    </row>
    <row r="951">
      <c r="A951" s="76">
        <v>18.0</v>
      </c>
      <c r="B951" s="74" t="s">
        <v>163</v>
      </c>
      <c r="C951" s="74" t="s">
        <v>240</v>
      </c>
      <c r="D951" s="74" t="s">
        <v>11</v>
      </c>
      <c r="E951" s="74" t="s">
        <v>50</v>
      </c>
      <c r="F951" s="80">
        <v>31.158422467680474</v>
      </c>
    </row>
    <row r="952">
      <c r="A952" s="76">
        <v>65.0</v>
      </c>
      <c r="B952" s="74" t="s">
        <v>209</v>
      </c>
      <c r="C952" s="74" t="s">
        <v>210</v>
      </c>
      <c r="D952" s="74" t="s">
        <v>11</v>
      </c>
      <c r="E952" s="74" t="s">
        <v>68</v>
      </c>
      <c r="F952" s="77">
        <v>5.788422467680474</v>
      </c>
    </row>
    <row r="953">
      <c r="A953" s="76">
        <v>15.0</v>
      </c>
      <c r="B953" s="74" t="s">
        <v>58</v>
      </c>
      <c r="C953" s="74" t="s">
        <v>59</v>
      </c>
      <c r="D953" s="74" t="s">
        <v>11</v>
      </c>
      <c r="E953" s="74" t="s">
        <v>39</v>
      </c>
      <c r="F953" s="80">
        <v>28.158422467680474</v>
      </c>
    </row>
    <row r="954">
      <c r="A954" s="76">
        <v>8.0</v>
      </c>
      <c r="B954" s="74" t="s">
        <v>108</v>
      </c>
      <c r="C954" s="74" t="s">
        <v>109</v>
      </c>
      <c r="D954" s="74" t="s">
        <v>11</v>
      </c>
      <c r="E954" s="74" t="s">
        <v>85</v>
      </c>
      <c r="F954" s="77">
        <v>14.648422467680474</v>
      </c>
    </row>
    <row r="955">
      <c r="A955" s="76">
        <v>83.0</v>
      </c>
      <c r="B955" s="74" t="s">
        <v>98</v>
      </c>
      <c r="C955" s="74" t="s">
        <v>99</v>
      </c>
      <c r="D955" s="74" t="s">
        <v>11</v>
      </c>
      <c r="E955" s="74" t="s">
        <v>31</v>
      </c>
      <c r="F955" s="80">
        <v>50.008422467680475</v>
      </c>
    </row>
    <row r="956">
      <c r="A956" s="76">
        <v>97.0</v>
      </c>
      <c r="B956" s="74" t="s">
        <v>69</v>
      </c>
      <c r="C956" s="74" t="s">
        <v>70</v>
      </c>
      <c r="D956" s="74" t="s">
        <v>30</v>
      </c>
      <c r="E956" s="74" t="s">
        <v>72</v>
      </c>
      <c r="F956" s="77">
        <v>21.378422467680476</v>
      </c>
    </row>
    <row r="957">
      <c r="A957" s="76">
        <v>93.0</v>
      </c>
      <c r="B957" s="74" t="s">
        <v>129</v>
      </c>
      <c r="C957" s="74" t="s">
        <v>130</v>
      </c>
      <c r="D957" s="74" t="s">
        <v>30</v>
      </c>
      <c r="E957" s="74" t="s">
        <v>39</v>
      </c>
      <c r="F957" s="80">
        <v>28.578422467680475</v>
      </c>
    </row>
    <row r="958">
      <c r="A958" s="76">
        <v>93.0</v>
      </c>
      <c r="B958" s="74" t="s">
        <v>129</v>
      </c>
      <c r="C958" s="74" t="s">
        <v>130</v>
      </c>
      <c r="D958" s="74" t="s">
        <v>11</v>
      </c>
      <c r="E958" s="74" t="s">
        <v>50</v>
      </c>
      <c r="F958" s="77">
        <v>21.688422467680475</v>
      </c>
    </row>
    <row r="959">
      <c r="A959" s="76">
        <v>84.0</v>
      </c>
      <c r="B959" s="74" t="s">
        <v>141</v>
      </c>
      <c r="C959" s="74" t="s">
        <v>142</v>
      </c>
      <c r="D959" s="74" t="s">
        <v>11</v>
      </c>
      <c r="E959" s="74" t="s">
        <v>85</v>
      </c>
      <c r="F959" s="80">
        <v>13.268422467680473</v>
      </c>
    </row>
    <row r="960">
      <c r="A960" s="76">
        <v>50.0</v>
      </c>
      <c r="B960" s="74" t="s">
        <v>33</v>
      </c>
      <c r="C960" s="74" t="s">
        <v>34</v>
      </c>
      <c r="D960" s="74" t="s">
        <v>30</v>
      </c>
      <c r="E960" s="74" t="s">
        <v>85</v>
      </c>
      <c r="F960" s="77">
        <v>14.038422467680473</v>
      </c>
    </row>
    <row r="961">
      <c r="A961" s="76">
        <v>82.0</v>
      </c>
      <c r="B961" s="74" t="s">
        <v>231</v>
      </c>
      <c r="C961" s="74" t="s">
        <v>232</v>
      </c>
      <c r="D961" s="74" t="s">
        <v>11</v>
      </c>
      <c r="E961" s="74" t="s">
        <v>72</v>
      </c>
      <c r="F961" s="80">
        <v>15.148422467680474</v>
      </c>
    </row>
    <row r="962">
      <c r="A962" s="76">
        <v>52.0</v>
      </c>
      <c r="B962" s="74" t="s">
        <v>181</v>
      </c>
      <c r="C962" s="74" t="s">
        <v>182</v>
      </c>
      <c r="D962" s="74" t="s">
        <v>11</v>
      </c>
      <c r="E962" s="74" t="s">
        <v>72</v>
      </c>
      <c r="F962" s="77">
        <v>19.708422467680474</v>
      </c>
    </row>
    <row r="963">
      <c r="A963" s="76">
        <v>86.0</v>
      </c>
      <c r="B963" s="74" t="s">
        <v>62</v>
      </c>
      <c r="C963" s="74" t="s">
        <v>63</v>
      </c>
      <c r="D963" s="74" t="s">
        <v>30</v>
      </c>
      <c r="E963" s="74" t="s">
        <v>12</v>
      </c>
      <c r="F963" s="80">
        <v>9.718422467680472</v>
      </c>
    </row>
    <row r="964">
      <c r="A964" s="76">
        <v>13.0</v>
      </c>
      <c r="B964" s="74" t="s">
        <v>137</v>
      </c>
      <c r="C964" s="74" t="s">
        <v>138</v>
      </c>
      <c r="D964" s="74" t="s">
        <v>30</v>
      </c>
      <c r="E964" s="74" t="s">
        <v>12</v>
      </c>
      <c r="F964" s="77">
        <v>9.418422467680474</v>
      </c>
    </row>
    <row r="965">
      <c r="A965" s="76">
        <v>78.0</v>
      </c>
      <c r="B965" s="74" t="s">
        <v>28</v>
      </c>
      <c r="C965" s="74" t="s">
        <v>29</v>
      </c>
      <c r="D965" s="74" t="s">
        <v>11</v>
      </c>
      <c r="E965" s="74" t="s">
        <v>91</v>
      </c>
      <c r="F965" s="80">
        <v>3.188422467680474</v>
      </c>
    </row>
    <row r="966">
      <c r="A966" s="76">
        <v>97.0</v>
      </c>
      <c r="B966" s="74" t="s">
        <v>69</v>
      </c>
      <c r="C966" s="74" t="s">
        <v>70</v>
      </c>
      <c r="D966" s="74" t="s">
        <v>30</v>
      </c>
      <c r="E966" s="74" t="s">
        <v>91</v>
      </c>
      <c r="F966" s="77">
        <v>0.3484224676804737</v>
      </c>
    </row>
    <row r="967">
      <c r="A967" s="76">
        <v>76.0</v>
      </c>
      <c r="B967" s="74" t="s">
        <v>213</v>
      </c>
      <c r="C967" s="74" t="s">
        <v>214</v>
      </c>
      <c r="D967" s="74" t="s">
        <v>11</v>
      </c>
      <c r="E967" s="74" t="s">
        <v>94</v>
      </c>
      <c r="F967" s="80">
        <v>26.878422467680476</v>
      </c>
    </row>
    <row r="968">
      <c r="A968" s="76">
        <v>63.0</v>
      </c>
      <c r="B968" s="74" t="s">
        <v>225</v>
      </c>
      <c r="C968" s="74" t="s">
        <v>226</v>
      </c>
      <c r="D968" s="74" t="s">
        <v>11</v>
      </c>
      <c r="E968" s="74" t="s">
        <v>72</v>
      </c>
      <c r="F968" s="77">
        <v>22.228422467680474</v>
      </c>
    </row>
    <row r="969">
      <c r="A969" s="76">
        <v>71.0</v>
      </c>
      <c r="B969" s="74" t="s">
        <v>150</v>
      </c>
      <c r="C969" s="74" t="s">
        <v>151</v>
      </c>
      <c r="D969" s="74" t="s">
        <v>30</v>
      </c>
      <c r="E969" s="74" t="s">
        <v>52</v>
      </c>
      <c r="F969" s="80">
        <v>62.718422467680476</v>
      </c>
    </row>
    <row r="970">
      <c r="A970" s="76">
        <v>49.0</v>
      </c>
      <c r="B970" s="74" t="s">
        <v>179</v>
      </c>
      <c r="C970" s="74" t="s">
        <v>180</v>
      </c>
      <c r="D970" s="74" t="s">
        <v>11</v>
      </c>
      <c r="E970" s="74" t="s">
        <v>46</v>
      </c>
      <c r="F970" s="77">
        <v>13.908422467680474</v>
      </c>
    </row>
    <row r="971">
      <c r="A971" s="76">
        <v>56.0</v>
      </c>
      <c r="B971" s="74" t="s">
        <v>127</v>
      </c>
      <c r="C971" s="74" t="s">
        <v>128</v>
      </c>
      <c r="D971" s="74" t="s">
        <v>30</v>
      </c>
      <c r="E971" s="74" t="s">
        <v>60</v>
      </c>
      <c r="F971" s="80">
        <v>36.76842246768047</v>
      </c>
    </row>
    <row r="972">
      <c r="A972" s="76">
        <v>82.0</v>
      </c>
      <c r="B972" s="74" t="s">
        <v>231</v>
      </c>
      <c r="C972" s="74" t="s">
        <v>232</v>
      </c>
      <c r="D972" s="74" t="s">
        <v>30</v>
      </c>
      <c r="E972" s="74" t="s">
        <v>88</v>
      </c>
      <c r="F972" s="77">
        <v>32.468422467680476</v>
      </c>
    </row>
    <row r="973">
      <c r="A973" s="76">
        <v>44.0</v>
      </c>
      <c r="B973" s="74" t="s">
        <v>215</v>
      </c>
      <c r="C973" s="74" t="s">
        <v>216</v>
      </c>
      <c r="D973" s="74" t="s">
        <v>30</v>
      </c>
      <c r="E973" s="74" t="s">
        <v>97</v>
      </c>
      <c r="F973" s="80">
        <v>2.7884224676804736</v>
      </c>
    </row>
    <row r="974">
      <c r="A974" s="76">
        <v>27.0</v>
      </c>
      <c r="B974" s="74" t="s">
        <v>173</v>
      </c>
      <c r="C974" s="74" t="s">
        <v>174</v>
      </c>
      <c r="D974" s="74" t="s">
        <v>30</v>
      </c>
      <c r="E974" s="74" t="s">
        <v>97</v>
      </c>
      <c r="F974" s="77">
        <v>2.898422467680474</v>
      </c>
    </row>
    <row r="975">
      <c r="A975" s="76">
        <v>68.0</v>
      </c>
      <c r="B975" s="74" t="s">
        <v>41</v>
      </c>
      <c r="C975" s="74" t="s">
        <v>42</v>
      </c>
      <c r="D975" s="74" t="s">
        <v>30</v>
      </c>
      <c r="E975" s="74" t="s">
        <v>50</v>
      </c>
      <c r="F975" s="80">
        <v>32.798422467680474</v>
      </c>
    </row>
    <row r="976">
      <c r="A976" s="76">
        <v>93.0</v>
      </c>
      <c r="B976" s="74" t="s">
        <v>129</v>
      </c>
      <c r="C976" s="74" t="s">
        <v>130</v>
      </c>
      <c r="D976" s="74" t="s">
        <v>30</v>
      </c>
      <c r="E976" s="74" t="s">
        <v>43</v>
      </c>
      <c r="F976" s="77">
        <v>18.688422467680475</v>
      </c>
    </row>
    <row r="977">
      <c r="A977" s="76">
        <v>67.0</v>
      </c>
      <c r="B977" s="74" t="s">
        <v>204</v>
      </c>
      <c r="C977" s="74" t="s">
        <v>205</v>
      </c>
      <c r="D977" s="74" t="s">
        <v>30</v>
      </c>
      <c r="E977" s="74" t="s">
        <v>82</v>
      </c>
      <c r="F977" s="80">
        <v>12.528422467680473</v>
      </c>
    </row>
    <row r="978">
      <c r="A978" s="76">
        <v>59.0</v>
      </c>
      <c r="B978" s="74" t="s">
        <v>103</v>
      </c>
      <c r="C978" s="74" t="s">
        <v>104</v>
      </c>
      <c r="D978" s="74" t="s">
        <v>11</v>
      </c>
      <c r="E978" s="74" t="s">
        <v>31</v>
      </c>
      <c r="F978" s="77">
        <v>35.078422467680475</v>
      </c>
    </row>
    <row r="979">
      <c r="A979" s="76">
        <v>86.0</v>
      </c>
      <c r="B979" s="74" t="s">
        <v>62</v>
      </c>
      <c r="C979" s="74" t="s">
        <v>63</v>
      </c>
      <c r="D979" s="74" t="s">
        <v>11</v>
      </c>
      <c r="E979" s="74" t="s">
        <v>68</v>
      </c>
      <c r="F979" s="80">
        <v>7.208422467680474</v>
      </c>
    </row>
    <row r="980">
      <c r="A980" s="76">
        <v>87.0</v>
      </c>
      <c r="B980" s="74" t="s">
        <v>243</v>
      </c>
      <c r="C980" s="74" t="s">
        <v>244</v>
      </c>
      <c r="D980" s="74" t="s">
        <v>11</v>
      </c>
      <c r="E980" s="74" t="s">
        <v>72</v>
      </c>
      <c r="F980" s="77">
        <v>19.638422467680474</v>
      </c>
    </row>
    <row r="981">
      <c r="A981" s="76">
        <v>24.0</v>
      </c>
      <c r="B981" s="74" t="s">
        <v>139</v>
      </c>
      <c r="C981" s="74" t="s">
        <v>140</v>
      </c>
      <c r="D981" s="74" t="s">
        <v>30</v>
      </c>
      <c r="E981" s="74" t="s">
        <v>12</v>
      </c>
      <c r="F981" s="80">
        <v>9.538422467680473</v>
      </c>
    </row>
    <row r="982">
      <c r="A982" s="76">
        <v>65.0</v>
      </c>
      <c r="B982" s="74" t="s">
        <v>209</v>
      </c>
      <c r="C982" s="74" t="s">
        <v>210</v>
      </c>
      <c r="D982" s="74" t="s">
        <v>11</v>
      </c>
      <c r="E982" s="74" t="s">
        <v>88</v>
      </c>
      <c r="F982" s="77">
        <v>31.308422467680472</v>
      </c>
    </row>
    <row r="983">
      <c r="A983" s="76">
        <v>55.0</v>
      </c>
      <c r="B983" s="74" t="s">
        <v>202</v>
      </c>
      <c r="C983" s="74" t="s">
        <v>203</v>
      </c>
      <c r="D983" s="74" t="s">
        <v>11</v>
      </c>
      <c r="E983" s="74" t="s">
        <v>68</v>
      </c>
      <c r="F983" s="80">
        <v>16.008422467680475</v>
      </c>
    </row>
    <row r="984">
      <c r="A984" s="76">
        <v>84.0</v>
      </c>
      <c r="B984" s="74" t="s">
        <v>141</v>
      </c>
      <c r="C984" s="74" t="s">
        <v>142</v>
      </c>
      <c r="D984" s="74" t="s">
        <v>30</v>
      </c>
      <c r="E984" s="74" t="s">
        <v>56</v>
      </c>
      <c r="F984" s="77">
        <v>69.02842246768047</v>
      </c>
    </row>
    <row r="985">
      <c r="A985" s="76">
        <v>21.0</v>
      </c>
      <c r="B985" s="74" t="s">
        <v>186</v>
      </c>
      <c r="C985" s="74" t="s">
        <v>187</v>
      </c>
      <c r="D985" s="74" t="s">
        <v>11</v>
      </c>
      <c r="E985" s="74" t="s">
        <v>68</v>
      </c>
      <c r="F985" s="80">
        <v>7.438422467680474</v>
      </c>
    </row>
    <row r="986">
      <c r="A986" s="76">
        <v>89.0</v>
      </c>
      <c r="B986" s="74" t="s">
        <v>135</v>
      </c>
      <c r="C986" s="74" t="s">
        <v>136</v>
      </c>
      <c r="D986" s="74" t="s">
        <v>11</v>
      </c>
      <c r="E986" s="74" t="s">
        <v>39</v>
      </c>
      <c r="F986" s="77">
        <v>20.358422467680477</v>
      </c>
    </row>
    <row r="987">
      <c r="A987" s="76">
        <v>83.0</v>
      </c>
      <c r="B987" s="74" t="s">
        <v>98</v>
      </c>
      <c r="C987" s="74" t="s">
        <v>99</v>
      </c>
      <c r="D987" s="74" t="s">
        <v>11</v>
      </c>
      <c r="E987" s="74" t="s">
        <v>94</v>
      </c>
      <c r="F987" s="80">
        <v>31.02842246768048</v>
      </c>
    </row>
    <row r="988">
      <c r="A988" s="76">
        <v>38.0</v>
      </c>
      <c r="B988" s="74" t="s">
        <v>116</v>
      </c>
      <c r="C988" s="74" t="s">
        <v>117</v>
      </c>
      <c r="D988" s="74" t="s">
        <v>11</v>
      </c>
      <c r="E988" s="74" t="s">
        <v>72</v>
      </c>
      <c r="F988" s="77">
        <v>20.478422467680474</v>
      </c>
    </row>
    <row r="989">
      <c r="A989" s="76">
        <v>87.0</v>
      </c>
      <c r="B989" s="74" t="s">
        <v>243</v>
      </c>
      <c r="C989" s="74" t="s">
        <v>244</v>
      </c>
      <c r="D989" s="74" t="s">
        <v>30</v>
      </c>
      <c r="E989" s="74" t="s">
        <v>12</v>
      </c>
      <c r="F989" s="80">
        <v>9.768422467680473</v>
      </c>
    </row>
    <row r="990">
      <c r="A990" s="76">
        <v>73.0</v>
      </c>
      <c r="B990" s="74" t="s">
        <v>223</v>
      </c>
      <c r="C990" s="74" t="s">
        <v>224</v>
      </c>
      <c r="D990" s="74" t="s">
        <v>11</v>
      </c>
      <c r="E990" s="74" t="s">
        <v>50</v>
      </c>
      <c r="F990" s="77">
        <v>27.168422467680475</v>
      </c>
    </row>
    <row r="991">
      <c r="A991" s="76">
        <v>47.0</v>
      </c>
      <c r="B991" s="74" t="s">
        <v>120</v>
      </c>
      <c r="C991" s="74" t="s">
        <v>121</v>
      </c>
      <c r="D991" s="74" t="s">
        <v>11</v>
      </c>
      <c r="E991" s="74" t="s">
        <v>31</v>
      </c>
      <c r="F991" s="80">
        <v>55.42842246768048</v>
      </c>
    </row>
    <row r="992">
      <c r="A992" s="76">
        <v>99.0</v>
      </c>
      <c r="B992" s="74" t="s">
        <v>73</v>
      </c>
      <c r="C992" s="74" t="s">
        <v>74</v>
      </c>
      <c r="D992" s="74" t="s">
        <v>11</v>
      </c>
      <c r="E992" s="74" t="s">
        <v>39</v>
      </c>
      <c r="F992" s="77">
        <v>25.818422467680474</v>
      </c>
    </row>
    <row r="993">
      <c r="A993" s="76">
        <v>2.0</v>
      </c>
      <c r="B993" s="74" t="s">
        <v>83</v>
      </c>
      <c r="C993" s="74" t="s">
        <v>84</v>
      </c>
      <c r="D993" s="74" t="s">
        <v>30</v>
      </c>
      <c r="E993" s="74" t="s">
        <v>79</v>
      </c>
      <c r="F993" s="80">
        <v>34.91842246768047</v>
      </c>
    </row>
    <row r="994">
      <c r="A994" s="76">
        <v>77.0</v>
      </c>
      <c r="B994" s="74" t="s">
        <v>9</v>
      </c>
      <c r="C994" s="74" t="s">
        <v>169</v>
      </c>
      <c r="D994" s="74" t="s">
        <v>30</v>
      </c>
      <c r="E994" s="74" t="s">
        <v>88</v>
      </c>
      <c r="F994" s="77">
        <v>33.66842246768047</v>
      </c>
    </row>
    <row r="995">
      <c r="A995" s="76">
        <v>61.0</v>
      </c>
      <c r="B995" s="74" t="s">
        <v>106</v>
      </c>
      <c r="C995" s="74" t="s">
        <v>107</v>
      </c>
      <c r="D995" s="74" t="s">
        <v>11</v>
      </c>
      <c r="E995" s="74" t="s">
        <v>43</v>
      </c>
      <c r="F995" s="80">
        <v>18.618422467680475</v>
      </c>
    </row>
    <row r="996">
      <c r="A996" s="76">
        <v>56.0</v>
      </c>
      <c r="B996" s="74" t="s">
        <v>127</v>
      </c>
      <c r="C996" s="74" t="s">
        <v>128</v>
      </c>
      <c r="D996" s="74" t="s">
        <v>11</v>
      </c>
      <c r="E996" s="74" t="s">
        <v>85</v>
      </c>
      <c r="F996" s="77">
        <v>11.938422467680473</v>
      </c>
    </row>
    <row r="997">
      <c r="A997" s="76">
        <v>81.0</v>
      </c>
      <c r="B997" s="74" t="s">
        <v>54</v>
      </c>
      <c r="C997" s="74" t="s">
        <v>55</v>
      </c>
      <c r="D997" s="74" t="s">
        <v>11</v>
      </c>
      <c r="E997" s="74" t="s">
        <v>82</v>
      </c>
      <c r="F997" s="80">
        <v>12.528422467680473</v>
      </c>
    </row>
    <row r="998">
      <c r="A998" s="76">
        <v>22.0</v>
      </c>
      <c r="B998" s="74" t="s">
        <v>131</v>
      </c>
      <c r="C998" s="74" t="s">
        <v>132</v>
      </c>
      <c r="D998" s="74" t="s">
        <v>30</v>
      </c>
      <c r="E998" s="74" t="s">
        <v>76</v>
      </c>
      <c r="F998" s="77">
        <v>10.248422467680474</v>
      </c>
    </row>
    <row r="999">
      <c r="A999" s="76">
        <v>82.0</v>
      </c>
      <c r="B999" s="74" t="s">
        <v>231</v>
      </c>
      <c r="C999" s="74" t="s">
        <v>232</v>
      </c>
      <c r="D999" s="74" t="s">
        <v>30</v>
      </c>
      <c r="E999" s="74" t="s">
        <v>43</v>
      </c>
      <c r="F999" s="80">
        <v>16.018422467680473</v>
      </c>
    </row>
    <row r="1000">
      <c r="A1000" s="76">
        <v>5.0</v>
      </c>
      <c r="B1000" s="74" t="s">
        <v>167</v>
      </c>
      <c r="C1000" s="74" t="s">
        <v>168</v>
      </c>
      <c r="D1000" s="74" t="s">
        <v>11</v>
      </c>
      <c r="E1000" s="74" t="s">
        <v>72</v>
      </c>
      <c r="F1000" s="77">
        <v>19.988422467680476</v>
      </c>
    </row>
    <row r="1001">
      <c r="A1001" s="76">
        <v>63.0</v>
      </c>
      <c r="B1001" s="74" t="s">
        <v>225</v>
      </c>
      <c r="C1001" s="74" t="s">
        <v>226</v>
      </c>
      <c r="D1001" s="74" t="s">
        <v>11</v>
      </c>
      <c r="E1001" s="74" t="s">
        <v>56</v>
      </c>
      <c r="F1001" s="80">
        <v>65.28842246768046</v>
      </c>
    </row>
    <row r="1002">
      <c r="A1002" s="76">
        <v>82.0</v>
      </c>
      <c r="B1002" s="74" t="s">
        <v>231</v>
      </c>
      <c r="C1002" s="74" t="s">
        <v>232</v>
      </c>
      <c r="D1002" s="74" t="s">
        <v>30</v>
      </c>
      <c r="E1002" s="74" t="s">
        <v>79</v>
      </c>
      <c r="F1002" s="77">
        <v>32.55842246768047</v>
      </c>
    </row>
    <row r="1003">
      <c r="A1003" s="76">
        <v>78.0</v>
      </c>
      <c r="B1003" s="74" t="s">
        <v>28</v>
      </c>
      <c r="C1003" s="74" t="s">
        <v>29</v>
      </c>
      <c r="D1003" s="74" t="s">
        <v>30</v>
      </c>
      <c r="E1003" s="74" t="s">
        <v>56</v>
      </c>
      <c r="F1003" s="80">
        <v>74.34842246768046</v>
      </c>
    </row>
    <row r="1004">
      <c r="A1004" s="76">
        <v>45.0</v>
      </c>
      <c r="B1004" s="74" t="s">
        <v>221</v>
      </c>
      <c r="C1004" s="74" t="s">
        <v>222</v>
      </c>
      <c r="D1004" s="74" t="s">
        <v>11</v>
      </c>
      <c r="E1004" s="74" t="s">
        <v>52</v>
      </c>
      <c r="F1004" s="77">
        <v>58.23842246768047</v>
      </c>
    </row>
    <row r="1005">
      <c r="A1005" s="76">
        <v>8.0</v>
      </c>
      <c r="B1005" s="74" t="s">
        <v>108</v>
      </c>
      <c r="C1005" s="74" t="s">
        <v>109</v>
      </c>
      <c r="D1005" s="74" t="s">
        <v>30</v>
      </c>
      <c r="E1005" s="74" t="s">
        <v>12</v>
      </c>
      <c r="F1005" s="80">
        <v>9.608422467680473</v>
      </c>
    </row>
    <row r="1006">
      <c r="A1006" s="76">
        <v>21.0</v>
      </c>
      <c r="B1006" s="74" t="s">
        <v>186</v>
      </c>
      <c r="C1006" s="74" t="s">
        <v>187</v>
      </c>
      <c r="D1006" s="74" t="s">
        <v>30</v>
      </c>
      <c r="E1006" s="74" t="s">
        <v>72</v>
      </c>
      <c r="F1006" s="77">
        <v>22.918422467680475</v>
      </c>
    </row>
    <row r="1007">
      <c r="A1007" s="76">
        <v>65.0</v>
      </c>
      <c r="B1007" s="74" t="s">
        <v>209</v>
      </c>
      <c r="C1007" s="74" t="s">
        <v>210</v>
      </c>
      <c r="D1007" s="74" t="s">
        <v>30</v>
      </c>
      <c r="E1007" s="74" t="s">
        <v>60</v>
      </c>
      <c r="F1007" s="80">
        <v>41.728422467680474</v>
      </c>
    </row>
    <row r="1008">
      <c r="A1008" s="76">
        <v>58.0</v>
      </c>
      <c r="B1008" s="74" t="s">
        <v>165</v>
      </c>
      <c r="C1008" s="74" t="s">
        <v>166</v>
      </c>
      <c r="D1008" s="74" t="s">
        <v>11</v>
      </c>
      <c r="E1008" s="74" t="s">
        <v>43</v>
      </c>
      <c r="F1008" s="77">
        <v>18.578422467680475</v>
      </c>
    </row>
    <row r="1009">
      <c r="A1009" s="76">
        <v>16.0</v>
      </c>
      <c r="B1009" s="74" t="s">
        <v>175</v>
      </c>
      <c r="C1009" s="74" t="s">
        <v>176</v>
      </c>
      <c r="D1009" s="74" t="s">
        <v>30</v>
      </c>
      <c r="E1009" s="74" t="s">
        <v>46</v>
      </c>
      <c r="F1009" s="80">
        <v>12.468422467680472</v>
      </c>
    </row>
    <row r="1010">
      <c r="A1010" s="76">
        <v>55.0</v>
      </c>
      <c r="B1010" s="74" t="s">
        <v>202</v>
      </c>
      <c r="C1010" s="74" t="s">
        <v>203</v>
      </c>
      <c r="D1010" s="74" t="s">
        <v>11</v>
      </c>
      <c r="E1010" s="74" t="s">
        <v>12</v>
      </c>
      <c r="F1010" s="77">
        <v>9.588422467680473</v>
      </c>
    </row>
    <row r="1011">
      <c r="A1011" s="76">
        <v>62.0</v>
      </c>
      <c r="B1011" s="74" t="s">
        <v>156</v>
      </c>
      <c r="C1011" s="74" t="s">
        <v>157</v>
      </c>
      <c r="D1011" s="74" t="s">
        <v>30</v>
      </c>
      <c r="E1011" s="74" t="s">
        <v>72</v>
      </c>
      <c r="F1011" s="80">
        <v>20.678422467680473</v>
      </c>
    </row>
    <row r="1012">
      <c r="A1012" s="76">
        <v>58.0</v>
      </c>
      <c r="B1012" s="74" t="s">
        <v>165</v>
      </c>
      <c r="C1012" s="74" t="s">
        <v>166</v>
      </c>
      <c r="D1012" s="74" t="s">
        <v>30</v>
      </c>
      <c r="E1012" s="74" t="s">
        <v>79</v>
      </c>
      <c r="F1012" s="77">
        <v>28.398422467680476</v>
      </c>
    </row>
    <row r="1013">
      <c r="A1013" s="76">
        <v>70.0</v>
      </c>
      <c r="B1013" s="74" t="s">
        <v>152</v>
      </c>
      <c r="C1013" s="74" t="s">
        <v>153</v>
      </c>
      <c r="D1013" s="74" t="s">
        <v>30</v>
      </c>
      <c r="E1013" s="74" t="s">
        <v>56</v>
      </c>
      <c r="F1013" s="80">
        <v>68.97842246768047</v>
      </c>
    </row>
    <row r="1014">
      <c r="A1014" s="76">
        <v>16.0</v>
      </c>
      <c r="B1014" s="74" t="s">
        <v>175</v>
      </c>
      <c r="C1014" s="74" t="s">
        <v>176</v>
      </c>
      <c r="D1014" s="74" t="s">
        <v>11</v>
      </c>
      <c r="E1014" s="74" t="s">
        <v>79</v>
      </c>
      <c r="F1014" s="77">
        <v>30.038422467680476</v>
      </c>
    </row>
    <row r="1015">
      <c r="A1015" s="76">
        <v>29.0</v>
      </c>
      <c r="B1015" s="74" t="s">
        <v>122</v>
      </c>
      <c r="C1015" s="74" t="s">
        <v>123</v>
      </c>
      <c r="D1015" s="74" t="s">
        <v>11</v>
      </c>
      <c r="E1015" s="74" t="s">
        <v>91</v>
      </c>
      <c r="F1015" s="80">
        <v>0.23842246768047382</v>
      </c>
    </row>
    <row r="1016">
      <c r="A1016" s="76">
        <v>26.0</v>
      </c>
      <c r="B1016" s="74" t="s">
        <v>211</v>
      </c>
      <c r="C1016" s="74" t="s">
        <v>212</v>
      </c>
      <c r="D1016" s="74" t="s">
        <v>30</v>
      </c>
      <c r="E1016" s="74" t="s">
        <v>43</v>
      </c>
      <c r="F1016" s="77">
        <v>12.908422467680474</v>
      </c>
    </row>
    <row r="1017">
      <c r="A1017" s="76">
        <v>86.0</v>
      </c>
      <c r="B1017" s="74" t="s">
        <v>62</v>
      </c>
      <c r="C1017" s="74" t="s">
        <v>63</v>
      </c>
      <c r="D1017" s="74" t="s">
        <v>11</v>
      </c>
      <c r="E1017" s="74" t="s">
        <v>52</v>
      </c>
      <c r="F1017" s="80">
        <v>59.468422467680476</v>
      </c>
    </row>
    <row r="1018">
      <c r="A1018" s="76">
        <v>2.0</v>
      </c>
      <c r="B1018" s="74" t="s">
        <v>83</v>
      </c>
      <c r="C1018" s="74" t="s">
        <v>84</v>
      </c>
      <c r="D1018" s="74" t="s">
        <v>30</v>
      </c>
      <c r="E1018" s="74" t="s">
        <v>97</v>
      </c>
      <c r="F1018" s="77">
        <v>3.238422467680474</v>
      </c>
    </row>
    <row r="1019">
      <c r="A1019" s="76">
        <v>62.0</v>
      </c>
      <c r="B1019" s="74" t="s">
        <v>156</v>
      </c>
      <c r="C1019" s="74" t="s">
        <v>157</v>
      </c>
      <c r="D1019" s="74" t="s">
        <v>30</v>
      </c>
      <c r="E1019" s="74" t="s">
        <v>35</v>
      </c>
      <c r="F1019" s="80">
        <v>12.698422467680473</v>
      </c>
    </row>
    <row r="1020">
      <c r="A1020" s="76">
        <v>51.0</v>
      </c>
      <c r="B1020" s="74" t="s">
        <v>233</v>
      </c>
      <c r="C1020" s="74" t="s">
        <v>234</v>
      </c>
      <c r="D1020" s="74" t="s">
        <v>30</v>
      </c>
      <c r="E1020" s="74" t="s">
        <v>52</v>
      </c>
      <c r="F1020" s="77">
        <v>64.47842246768047</v>
      </c>
    </row>
    <row r="1021">
      <c r="A1021" s="76">
        <v>92.0</v>
      </c>
      <c r="B1021" s="74" t="s">
        <v>112</v>
      </c>
      <c r="C1021" s="74" t="s">
        <v>197</v>
      </c>
      <c r="D1021" s="74" t="s">
        <v>11</v>
      </c>
      <c r="E1021" s="74" t="s">
        <v>85</v>
      </c>
      <c r="F1021" s="80">
        <v>12.778422467680473</v>
      </c>
    </row>
    <row r="1022">
      <c r="A1022" s="76">
        <v>43.0</v>
      </c>
      <c r="B1022" s="74" t="s">
        <v>95</v>
      </c>
      <c r="C1022" s="74" t="s">
        <v>96</v>
      </c>
      <c r="D1022" s="74" t="s">
        <v>30</v>
      </c>
      <c r="E1022" s="74" t="s">
        <v>50</v>
      </c>
      <c r="F1022" s="77">
        <v>28.248422467680474</v>
      </c>
    </row>
    <row r="1023">
      <c r="A1023" s="76">
        <v>27.0</v>
      </c>
      <c r="B1023" s="74" t="s">
        <v>173</v>
      </c>
      <c r="C1023" s="74" t="s">
        <v>174</v>
      </c>
      <c r="D1023" s="74" t="s">
        <v>11</v>
      </c>
      <c r="E1023" s="74" t="s">
        <v>35</v>
      </c>
      <c r="F1023" s="80">
        <v>15.858422467680475</v>
      </c>
    </row>
    <row r="1024">
      <c r="A1024" s="76">
        <v>38.0</v>
      </c>
      <c r="B1024" s="74" t="s">
        <v>116</v>
      </c>
      <c r="C1024" s="74" t="s">
        <v>117</v>
      </c>
      <c r="D1024" s="74" t="s">
        <v>30</v>
      </c>
      <c r="E1024" s="74" t="s">
        <v>35</v>
      </c>
      <c r="F1024" s="77">
        <v>17.568422467680474</v>
      </c>
    </row>
    <row r="1025">
      <c r="A1025" s="76">
        <v>46.0</v>
      </c>
      <c r="B1025" s="74" t="s">
        <v>143</v>
      </c>
      <c r="C1025" s="74" t="s">
        <v>144</v>
      </c>
      <c r="D1025" s="74" t="s">
        <v>11</v>
      </c>
      <c r="E1025" s="74" t="s">
        <v>50</v>
      </c>
      <c r="F1025" s="80">
        <v>33.048422467680474</v>
      </c>
    </row>
    <row r="1026">
      <c r="A1026" s="76">
        <v>57.0</v>
      </c>
      <c r="B1026" s="74" t="s">
        <v>92</v>
      </c>
      <c r="C1026" s="74" t="s">
        <v>190</v>
      </c>
      <c r="D1026" s="74" t="s">
        <v>30</v>
      </c>
      <c r="E1026" s="74" t="s">
        <v>97</v>
      </c>
      <c r="F1026" s="77">
        <v>2.478422467680474</v>
      </c>
    </row>
    <row r="1027">
      <c r="A1027" s="76">
        <v>12.0</v>
      </c>
      <c r="B1027" s="74" t="s">
        <v>188</v>
      </c>
      <c r="C1027" s="74" t="s">
        <v>189</v>
      </c>
      <c r="D1027" s="74" t="s">
        <v>30</v>
      </c>
      <c r="E1027" s="74" t="s">
        <v>97</v>
      </c>
      <c r="F1027" s="80">
        <v>3.4984224676804736</v>
      </c>
    </row>
    <row r="1028">
      <c r="A1028" s="76">
        <v>18.0</v>
      </c>
      <c r="B1028" s="74" t="s">
        <v>163</v>
      </c>
      <c r="C1028" s="74" t="s">
        <v>240</v>
      </c>
      <c r="D1028" s="74" t="s">
        <v>30</v>
      </c>
      <c r="E1028" s="74" t="s">
        <v>79</v>
      </c>
      <c r="F1028" s="77">
        <v>37.88842246768048</v>
      </c>
    </row>
    <row r="1029">
      <c r="A1029" s="76">
        <v>49.0</v>
      </c>
      <c r="B1029" s="74" t="s">
        <v>179</v>
      </c>
      <c r="C1029" s="74" t="s">
        <v>180</v>
      </c>
      <c r="D1029" s="74" t="s">
        <v>30</v>
      </c>
      <c r="E1029" s="74" t="s">
        <v>60</v>
      </c>
      <c r="F1029" s="80">
        <v>39.218422467680476</v>
      </c>
    </row>
    <row r="1030">
      <c r="A1030" s="76">
        <v>94.0</v>
      </c>
      <c r="B1030" s="74" t="s">
        <v>207</v>
      </c>
      <c r="C1030" s="74" t="s">
        <v>237</v>
      </c>
      <c r="D1030" s="74" t="s">
        <v>30</v>
      </c>
      <c r="E1030" s="74" t="s">
        <v>60</v>
      </c>
      <c r="F1030" s="77">
        <v>53.578422467680475</v>
      </c>
    </row>
    <row r="1031">
      <c r="A1031" s="76">
        <v>88.0</v>
      </c>
      <c r="B1031" s="74" t="s">
        <v>200</v>
      </c>
      <c r="C1031" s="74" t="s">
        <v>206</v>
      </c>
      <c r="D1031" s="74" t="s">
        <v>11</v>
      </c>
      <c r="E1031" s="74" t="s">
        <v>31</v>
      </c>
      <c r="F1031" s="80">
        <v>38.84842246768047</v>
      </c>
    </row>
    <row r="1032">
      <c r="A1032" s="76">
        <v>62.0</v>
      </c>
      <c r="B1032" s="74" t="s">
        <v>156</v>
      </c>
      <c r="C1032" s="74" t="s">
        <v>157</v>
      </c>
      <c r="D1032" s="74" t="s">
        <v>30</v>
      </c>
      <c r="E1032" s="74" t="s">
        <v>50</v>
      </c>
      <c r="F1032" s="77">
        <v>30.018422467680473</v>
      </c>
    </row>
    <row r="1033">
      <c r="A1033" s="76">
        <v>100.0</v>
      </c>
      <c r="B1033" s="74" t="s">
        <v>48</v>
      </c>
      <c r="C1033" s="74" t="s">
        <v>49</v>
      </c>
      <c r="D1033" s="74" t="s">
        <v>11</v>
      </c>
      <c r="E1033" s="74" t="s">
        <v>60</v>
      </c>
      <c r="F1033" s="80">
        <v>39.868422467680475</v>
      </c>
    </row>
    <row r="1034">
      <c r="A1034" s="76">
        <v>35.0</v>
      </c>
      <c r="B1034" s="74" t="s">
        <v>125</v>
      </c>
      <c r="C1034" s="74" t="s">
        <v>126</v>
      </c>
      <c r="D1034" s="74" t="s">
        <v>30</v>
      </c>
      <c r="E1034" s="74" t="s">
        <v>82</v>
      </c>
      <c r="F1034" s="77">
        <v>9.198422467680473</v>
      </c>
    </row>
    <row r="1035">
      <c r="A1035" s="76">
        <v>94.0</v>
      </c>
      <c r="B1035" s="74" t="s">
        <v>207</v>
      </c>
      <c r="C1035" s="74" t="s">
        <v>237</v>
      </c>
      <c r="D1035" s="74" t="s">
        <v>30</v>
      </c>
      <c r="E1035" s="74" t="s">
        <v>50</v>
      </c>
      <c r="F1035" s="80">
        <v>23.758422467680475</v>
      </c>
    </row>
    <row r="1036">
      <c r="A1036" s="76">
        <v>79.0</v>
      </c>
      <c r="B1036" s="74" t="s">
        <v>101</v>
      </c>
      <c r="C1036" s="74" t="s">
        <v>102</v>
      </c>
      <c r="D1036" s="74" t="s">
        <v>11</v>
      </c>
      <c r="E1036" s="74" t="s">
        <v>60</v>
      </c>
      <c r="F1036" s="77">
        <v>40.508422467680475</v>
      </c>
    </row>
    <row r="1037">
      <c r="A1037" s="76">
        <v>94.0</v>
      </c>
      <c r="B1037" s="74" t="s">
        <v>207</v>
      </c>
      <c r="C1037" s="74" t="s">
        <v>237</v>
      </c>
      <c r="D1037" s="74" t="s">
        <v>30</v>
      </c>
      <c r="E1037" s="74" t="s">
        <v>35</v>
      </c>
      <c r="F1037" s="80">
        <v>11.048422467680473</v>
      </c>
    </row>
    <row r="1038">
      <c r="A1038" s="76">
        <v>13.0</v>
      </c>
      <c r="B1038" s="74" t="s">
        <v>137</v>
      </c>
      <c r="C1038" s="74" t="s">
        <v>138</v>
      </c>
      <c r="D1038" s="74" t="s">
        <v>30</v>
      </c>
      <c r="E1038" s="74" t="s">
        <v>91</v>
      </c>
      <c r="F1038" s="77">
        <v>3.188422467680474</v>
      </c>
    </row>
    <row r="1039">
      <c r="A1039" s="76">
        <v>38.0</v>
      </c>
      <c r="B1039" s="74" t="s">
        <v>116</v>
      </c>
      <c r="C1039" s="74" t="s">
        <v>117</v>
      </c>
      <c r="D1039" s="74" t="s">
        <v>11</v>
      </c>
      <c r="E1039" s="74" t="s">
        <v>97</v>
      </c>
      <c r="F1039" s="80">
        <v>3.728422467680474</v>
      </c>
    </row>
    <row r="1040">
      <c r="A1040" s="76">
        <v>91.0</v>
      </c>
      <c r="B1040" s="74" t="s">
        <v>112</v>
      </c>
      <c r="C1040" s="74" t="s">
        <v>113</v>
      </c>
      <c r="D1040" s="74" t="s">
        <v>30</v>
      </c>
      <c r="E1040" s="74" t="s">
        <v>91</v>
      </c>
      <c r="F1040" s="77">
        <v>1.7484224676804738</v>
      </c>
    </row>
    <row r="1041">
      <c r="A1041" s="76">
        <v>79.0</v>
      </c>
      <c r="B1041" s="74" t="s">
        <v>101</v>
      </c>
      <c r="C1041" s="74" t="s">
        <v>102</v>
      </c>
      <c r="D1041" s="74" t="s">
        <v>11</v>
      </c>
      <c r="E1041" s="74" t="s">
        <v>43</v>
      </c>
      <c r="F1041" s="80">
        <v>15.368422467680473</v>
      </c>
    </row>
    <row r="1042">
      <c r="A1042" s="76">
        <v>20.0</v>
      </c>
      <c r="B1042" s="74" t="s">
        <v>161</v>
      </c>
      <c r="C1042" s="74" t="s">
        <v>162</v>
      </c>
      <c r="D1042" s="74" t="s">
        <v>30</v>
      </c>
      <c r="E1042" s="74" t="s">
        <v>76</v>
      </c>
      <c r="F1042" s="77">
        <v>11.338422467680473</v>
      </c>
    </row>
    <row r="1043">
      <c r="A1043" s="76">
        <v>74.0</v>
      </c>
      <c r="B1043" s="74" t="s">
        <v>9</v>
      </c>
      <c r="C1043" s="74" t="s">
        <v>124</v>
      </c>
      <c r="D1043" s="74" t="s">
        <v>11</v>
      </c>
      <c r="E1043" s="74" t="s">
        <v>76</v>
      </c>
      <c r="F1043" s="80">
        <v>9.868422467680473</v>
      </c>
    </row>
    <row r="1044">
      <c r="A1044" s="76">
        <v>17.0</v>
      </c>
      <c r="B1044" s="74" t="s">
        <v>200</v>
      </c>
      <c r="C1044" s="74" t="s">
        <v>201</v>
      </c>
      <c r="D1044" s="74" t="s">
        <v>30</v>
      </c>
      <c r="E1044" s="74" t="s">
        <v>79</v>
      </c>
      <c r="F1044" s="77">
        <v>33.538422467680476</v>
      </c>
    </row>
    <row r="1045">
      <c r="A1045" s="76">
        <v>90.0</v>
      </c>
      <c r="B1045" s="74" t="s">
        <v>219</v>
      </c>
      <c r="C1045" s="74" t="s">
        <v>220</v>
      </c>
      <c r="D1045" s="74" t="s">
        <v>30</v>
      </c>
      <c r="E1045" s="74" t="s">
        <v>31</v>
      </c>
      <c r="F1045" s="80">
        <v>39.33842246768047</v>
      </c>
    </row>
    <row r="1046">
      <c r="A1046" s="76">
        <v>41.0</v>
      </c>
      <c r="B1046" s="74" t="s">
        <v>217</v>
      </c>
      <c r="C1046" s="74" t="s">
        <v>218</v>
      </c>
      <c r="D1046" s="74" t="s">
        <v>30</v>
      </c>
      <c r="E1046" s="74" t="s">
        <v>50</v>
      </c>
      <c r="F1046" s="77">
        <v>32.44842246768047</v>
      </c>
    </row>
    <row r="1047">
      <c r="A1047" s="76">
        <v>68.0</v>
      </c>
      <c r="B1047" s="74" t="s">
        <v>41</v>
      </c>
      <c r="C1047" s="74" t="s">
        <v>42</v>
      </c>
      <c r="D1047" s="74" t="s">
        <v>11</v>
      </c>
      <c r="E1047" s="74" t="s">
        <v>56</v>
      </c>
      <c r="F1047" s="80">
        <v>68.55842246768047</v>
      </c>
    </row>
    <row r="1048">
      <c r="A1048" s="76">
        <v>39.0</v>
      </c>
      <c r="B1048" s="74" t="s">
        <v>89</v>
      </c>
      <c r="C1048" s="74" t="s">
        <v>90</v>
      </c>
      <c r="D1048" s="74" t="s">
        <v>30</v>
      </c>
      <c r="E1048" s="74" t="s">
        <v>12</v>
      </c>
      <c r="F1048" s="77">
        <v>9.128422467680473</v>
      </c>
    </row>
    <row r="1049">
      <c r="A1049" s="76">
        <v>86.0</v>
      </c>
      <c r="B1049" s="74" t="s">
        <v>62</v>
      </c>
      <c r="C1049" s="74" t="s">
        <v>63</v>
      </c>
      <c r="D1049" s="74" t="s">
        <v>30</v>
      </c>
      <c r="E1049" s="74" t="s">
        <v>35</v>
      </c>
      <c r="F1049" s="80">
        <v>19.908422467680474</v>
      </c>
    </row>
    <row r="1050">
      <c r="A1050" s="76">
        <v>69.0</v>
      </c>
      <c r="B1050" s="74" t="s">
        <v>108</v>
      </c>
      <c r="C1050" s="74" t="s">
        <v>145</v>
      </c>
      <c r="D1050" s="74" t="s">
        <v>30</v>
      </c>
      <c r="E1050" s="74" t="s">
        <v>12</v>
      </c>
      <c r="F1050" s="77">
        <v>9.148422467680474</v>
      </c>
    </row>
    <row r="1051">
      <c r="A1051" s="76">
        <v>11.0</v>
      </c>
      <c r="B1051" s="74" t="s">
        <v>227</v>
      </c>
      <c r="C1051" s="74" t="s">
        <v>228</v>
      </c>
      <c r="D1051" s="74" t="s">
        <v>11</v>
      </c>
      <c r="E1051" s="74" t="s">
        <v>46</v>
      </c>
      <c r="F1051" s="80">
        <v>12.178422467680473</v>
      </c>
    </row>
    <row r="1052">
      <c r="A1052" s="76">
        <v>58.0</v>
      </c>
      <c r="B1052" s="74" t="s">
        <v>165</v>
      </c>
      <c r="C1052" s="74" t="s">
        <v>166</v>
      </c>
      <c r="D1052" s="74" t="s">
        <v>30</v>
      </c>
      <c r="E1052" s="74" t="s">
        <v>72</v>
      </c>
      <c r="F1052" s="77">
        <v>21.378422467680476</v>
      </c>
    </row>
    <row r="1053">
      <c r="A1053" s="76">
        <v>11.0</v>
      </c>
      <c r="B1053" s="74" t="s">
        <v>227</v>
      </c>
      <c r="C1053" s="74" t="s">
        <v>228</v>
      </c>
      <c r="D1053" s="74" t="s">
        <v>11</v>
      </c>
      <c r="E1053" s="74" t="s">
        <v>35</v>
      </c>
      <c r="F1053" s="80">
        <v>11.458422467680473</v>
      </c>
    </row>
    <row r="1054">
      <c r="A1054" s="76">
        <v>16.0</v>
      </c>
      <c r="B1054" s="74" t="s">
        <v>175</v>
      </c>
      <c r="C1054" s="74" t="s">
        <v>176</v>
      </c>
      <c r="D1054" s="74" t="s">
        <v>11</v>
      </c>
      <c r="E1054" s="74" t="s">
        <v>94</v>
      </c>
      <c r="F1054" s="77">
        <v>30.998422467680477</v>
      </c>
    </row>
    <row r="1055">
      <c r="A1055" s="76">
        <v>49.0</v>
      </c>
      <c r="B1055" s="74" t="s">
        <v>179</v>
      </c>
      <c r="C1055" s="74" t="s">
        <v>180</v>
      </c>
      <c r="D1055" s="74" t="s">
        <v>11</v>
      </c>
      <c r="E1055" s="74" t="s">
        <v>76</v>
      </c>
      <c r="F1055" s="80">
        <v>10.438422467680473</v>
      </c>
    </row>
    <row r="1056">
      <c r="A1056" s="76">
        <v>81.0</v>
      </c>
      <c r="B1056" s="74" t="s">
        <v>54</v>
      </c>
      <c r="C1056" s="74" t="s">
        <v>55</v>
      </c>
      <c r="D1056" s="74" t="s">
        <v>11</v>
      </c>
      <c r="E1056" s="74" t="s">
        <v>97</v>
      </c>
      <c r="F1056" s="77">
        <v>3.1184224676804737</v>
      </c>
    </row>
    <row r="1057">
      <c r="A1057" s="76">
        <v>12.0</v>
      </c>
      <c r="B1057" s="74" t="s">
        <v>188</v>
      </c>
      <c r="C1057" s="74" t="s">
        <v>189</v>
      </c>
      <c r="D1057" s="74" t="s">
        <v>30</v>
      </c>
      <c r="E1057" s="74" t="s">
        <v>39</v>
      </c>
      <c r="F1057" s="80">
        <v>40.69842246768047</v>
      </c>
    </row>
    <row r="1058">
      <c r="A1058" s="76">
        <v>14.0</v>
      </c>
      <c r="B1058" s="74" t="s">
        <v>171</v>
      </c>
      <c r="C1058" s="74" t="s">
        <v>172</v>
      </c>
      <c r="D1058" s="74" t="s">
        <v>11</v>
      </c>
      <c r="E1058" s="74" t="s">
        <v>91</v>
      </c>
      <c r="F1058" s="77">
        <v>0.6084224676804737</v>
      </c>
    </row>
    <row r="1059">
      <c r="A1059" s="76">
        <v>13.0</v>
      </c>
      <c r="B1059" s="74" t="s">
        <v>137</v>
      </c>
      <c r="C1059" s="74" t="s">
        <v>138</v>
      </c>
      <c r="D1059" s="74" t="s">
        <v>11</v>
      </c>
      <c r="E1059" s="74" t="s">
        <v>91</v>
      </c>
      <c r="F1059" s="80">
        <v>2.8384224676804735</v>
      </c>
    </row>
    <row r="1060">
      <c r="A1060" s="76">
        <v>96.0</v>
      </c>
      <c r="B1060" s="74" t="s">
        <v>163</v>
      </c>
      <c r="C1060" s="74" t="s">
        <v>164</v>
      </c>
      <c r="D1060" s="74" t="s">
        <v>11</v>
      </c>
      <c r="E1060" s="74" t="s">
        <v>68</v>
      </c>
      <c r="F1060" s="77">
        <v>11.198422467680473</v>
      </c>
    </row>
    <row r="1061">
      <c r="A1061" s="76">
        <v>39.0</v>
      </c>
      <c r="B1061" s="74" t="s">
        <v>89</v>
      </c>
      <c r="C1061" s="74" t="s">
        <v>90</v>
      </c>
      <c r="D1061" s="74" t="s">
        <v>30</v>
      </c>
      <c r="E1061" s="74" t="s">
        <v>76</v>
      </c>
      <c r="F1061" s="80">
        <v>11.198422467680473</v>
      </c>
    </row>
    <row r="1062">
      <c r="A1062" s="76">
        <v>52.0</v>
      </c>
      <c r="B1062" s="74" t="s">
        <v>181</v>
      </c>
      <c r="C1062" s="74" t="s">
        <v>182</v>
      </c>
      <c r="D1062" s="74" t="s">
        <v>30</v>
      </c>
      <c r="E1062" s="74" t="s">
        <v>97</v>
      </c>
      <c r="F1062" s="77">
        <v>1.3184224676804737</v>
      </c>
    </row>
    <row r="1063">
      <c r="A1063" s="76">
        <v>47.0</v>
      </c>
      <c r="B1063" s="74" t="s">
        <v>120</v>
      </c>
      <c r="C1063" s="74" t="s">
        <v>121</v>
      </c>
      <c r="D1063" s="74" t="s">
        <v>30</v>
      </c>
      <c r="E1063" s="74" t="s">
        <v>91</v>
      </c>
      <c r="F1063" s="80">
        <v>2.768422467680474</v>
      </c>
    </row>
    <row r="1064">
      <c r="A1064" s="76">
        <v>93.0</v>
      </c>
      <c r="B1064" s="74" t="s">
        <v>129</v>
      </c>
      <c r="C1064" s="74" t="s">
        <v>130</v>
      </c>
      <c r="D1064" s="74" t="s">
        <v>30</v>
      </c>
      <c r="E1064" s="74" t="s">
        <v>79</v>
      </c>
      <c r="F1064" s="77">
        <v>34.978422467680474</v>
      </c>
    </row>
    <row r="1065">
      <c r="A1065" s="76">
        <v>55.0</v>
      </c>
      <c r="B1065" s="74" t="s">
        <v>202</v>
      </c>
      <c r="C1065" s="74" t="s">
        <v>203</v>
      </c>
      <c r="D1065" s="74" t="s">
        <v>30</v>
      </c>
      <c r="E1065" s="74" t="s">
        <v>82</v>
      </c>
      <c r="F1065" s="80">
        <v>13.018422467680473</v>
      </c>
    </row>
    <row r="1066">
      <c r="A1066" s="76">
        <v>26.0</v>
      </c>
      <c r="B1066" s="74" t="s">
        <v>211</v>
      </c>
      <c r="C1066" s="74" t="s">
        <v>212</v>
      </c>
      <c r="D1066" s="74" t="s">
        <v>30</v>
      </c>
      <c r="E1066" s="74" t="s">
        <v>88</v>
      </c>
      <c r="F1066" s="77">
        <v>35.06842246768048</v>
      </c>
    </row>
    <row r="1067">
      <c r="A1067" s="76">
        <v>42.0</v>
      </c>
      <c r="B1067" s="74" t="s">
        <v>92</v>
      </c>
      <c r="C1067" s="74" t="s">
        <v>170</v>
      </c>
      <c r="D1067" s="74" t="s">
        <v>30</v>
      </c>
      <c r="E1067" s="74" t="s">
        <v>50</v>
      </c>
      <c r="F1067" s="80">
        <v>21.598422467680475</v>
      </c>
    </row>
    <row r="1068">
      <c r="A1068" s="76">
        <v>85.0</v>
      </c>
      <c r="B1068" s="74" t="s">
        <v>198</v>
      </c>
      <c r="C1068" s="74" t="s">
        <v>199</v>
      </c>
      <c r="D1068" s="74" t="s">
        <v>30</v>
      </c>
      <c r="E1068" s="74" t="s">
        <v>46</v>
      </c>
      <c r="F1068" s="77">
        <v>11.028422467680473</v>
      </c>
    </row>
    <row r="1069">
      <c r="A1069" s="76">
        <v>15.0</v>
      </c>
      <c r="B1069" s="74" t="s">
        <v>58</v>
      </c>
      <c r="C1069" s="74" t="s">
        <v>59</v>
      </c>
      <c r="D1069" s="74" t="s">
        <v>30</v>
      </c>
      <c r="E1069" s="74" t="s">
        <v>85</v>
      </c>
      <c r="F1069" s="80">
        <v>14.828422467680474</v>
      </c>
    </row>
    <row r="1070">
      <c r="A1070" s="76">
        <v>78.0</v>
      </c>
      <c r="B1070" s="74" t="s">
        <v>28</v>
      </c>
      <c r="C1070" s="74" t="s">
        <v>29</v>
      </c>
      <c r="D1070" s="74" t="s">
        <v>30</v>
      </c>
      <c r="E1070" s="74" t="s">
        <v>97</v>
      </c>
      <c r="F1070" s="77">
        <v>1.868422467680474</v>
      </c>
    </row>
    <row r="1071">
      <c r="A1071" s="76">
        <v>43.0</v>
      </c>
      <c r="B1071" s="74" t="s">
        <v>95</v>
      </c>
      <c r="C1071" s="74" t="s">
        <v>96</v>
      </c>
      <c r="D1071" s="74" t="s">
        <v>30</v>
      </c>
      <c r="E1071" s="74" t="s">
        <v>76</v>
      </c>
      <c r="F1071" s="80">
        <v>9.928422467680473</v>
      </c>
    </row>
    <row r="1072">
      <c r="A1072" s="76">
        <v>59.0</v>
      </c>
      <c r="B1072" s="74" t="s">
        <v>103</v>
      </c>
      <c r="C1072" s="74" t="s">
        <v>104</v>
      </c>
      <c r="D1072" s="74" t="s">
        <v>30</v>
      </c>
      <c r="E1072" s="74" t="s">
        <v>97</v>
      </c>
      <c r="F1072" s="77">
        <v>1.428422467680474</v>
      </c>
    </row>
    <row r="1073">
      <c r="A1073" s="76">
        <v>20.0</v>
      </c>
      <c r="B1073" s="74" t="s">
        <v>161</v>
      </c>
      <c r="C1073" s="74" t="s">
        <v>162</v>
      </c>
      <c r="D1073" s="74" t="s">
        <v>30</v>
      </c>
      <c r="E1073" s="74" t="s">
        <v>85</v>
      </c>
      <c r="F1073" s="80">
        <v>11.168422467680474</v>
      </c>
    </row>
    <row r="1074">
      <c r="A1074" s="76">
        <v>33.0</v>
      </c>
      <c r="B1074" s="74" t="s">
        <v>191</v>
      </c>
      <c r="C1074" s="74" t="s">
        <v>192</v>
      </c>
      <c r="D1074" s="74" t="s">
        <v>11</v>
      </c>
      <c r="E1074" s="74" t="s">
        <v>79</v>
      </c>
      <c r="F1074" s="77">
        <v>37.51842246768047</v>
      </c>
    </row>
    <row r="1075">
      <c r="A1075" s="76">
        <v>45.0</v>
      </c>
      <c r="B1075" s="74" t="s">
        <v>221</v>
      </c>
      <c r="C1075" s="74" t="s">
        <v>222</v>
      </c>
      <c r="D1075" s="74" t="s">
        <v>30</v>
      </c>
      <c r="E1075" s="74" t="s">
        <v>52</v>
      </c>
      <c r="F1075" s="80">
        <v>62.48842246768047</v>
      </c>
    </row>
    <row r="1076">
      <c r="A1076" s="76">
        <v>86.0</v>
      </c>
      <c r="B1076" s="74" t="s">
        <v>62</v>
      </c>
      <c r="C1076" s="74" t="s">
        <v>63</v>
      </c>
      <c r="D1076" s="74" t="s">
        <v>11</v>
      </c>
      <c r="E1076" s="74" t="s">
        <v>82</v>
      </c>
      <c r="F1076" s="77">
        <v>12.628422467680473</v>
      </c>
    </row>
    <row r="1077">
      <c r="A1077" s="76">
        <v>91.0</v>
      </c>
      <c r="B1077" s="74" t="s">
        <v>112</v>
      </c>
      <c r="C1077" s="74" t="s">
        <v>113</v>
      </c>
      <c r="D1077" s="74" t="s">
        <v>30</v>
      </c>
      <c r="E1077" s="74" t="s">
        <v>91</v>
      </c>
      <c r="F1077" s="80">
        <v>2.1584224676804737</v>
      </c>
    </row>
    <row r="1078">
      <c r="A1078" s="76">
        <v>1.0</v>
      </c>
      <c r="B1078" s="74" t="s">
        <v>194</v>
      </c>
      <c r="C1078" s="74" t="s">
        <v>195</v>
      </c>
      <c r="D1078" s="74" t="s">
        <v>11</v>
      </c>
      <c r="E1078" s="74" t="s">
        <v>52</v>
      </c>
      <c r="F1078" s="77">
        <v>67.49842246768047</v>
      </c>
    </row>
    <row r="1079">
      <c r="A1079" s="76">
        <v>23.0</v>
      </c>
      <c r="B1079" s="74" t="s">
        <v>235</v>
      </c>
      <c r="C1079" s="74" t="s">
        <v>236</v>
      </c>
      <c r="D1079" s="74" t="s">
        <v>30</v>
      </c>
      <c r="E1079" s="74" t="s">
        <v>91</v>
      </c>
      <c r="F1079" s="80">
        <v>1.7484224676804738</v>
      </c>
    </row>
    <row r="1080">
      <c r="A1080" s="76">
        <v>58.0</v>
      </c>
      <c r="B1080" s="74" t="s">
        <v>165</v>
      </c>
      <c r="C1080" s="74" t="s">
        <v>166</v>
      </c>
      <c r="D1080" s="74" t="s">
        <v>30</v>
      </c>
      <c r="E1080" s="74" t="s">
        <v>56</v>
      </c>
      <c r="F1080" s="77">
        <v>59.67842246768048</v>
      </c>
    </row>
    <row r="1081">
      <c r="A1081" s="76">
        <v>25.0</v>
      </c>
      <c r="B1081" s="74" t="s">
        <v>154</v>
      </c>
      <c r="C1081" s="74" t="s">
        <v>155</v>
      </c>
      <c r="D1081" s="74" t="s">
        <v>30</v>
      </c>
      <c r="E1081" s="74" t="s">
        <v>31</v>
      </c>
      <c r="F1081" s="80">
        <v>51.188422467680475</v>
      </c>
    </row>
    <row r="1082">
      <c r="A1082" s="76">
        <v>24.0</v>
      </c>
      <c r="B1082" s="74" t="s">
        <v>139</v>
      </c>
      <c r="C1082" s="74" t="s">
        <v>140</v>
      </c>
      <c r="D1082" s="74" t="s">
        <v>11</v>
      </c>
      <c r="E1082" s="74" t="s">
        <v>68</v>
      </c>
      <c r="F1082" s="77">
        <v>15.528422467680473</v>
      </c>
    </row>
    <row r="1083">
      <c r="A1083" s="76">
        <v>88.0</v>
      </c>
      <c r="B1083" s="74" t="s">
        <v>200</v>
      </c>
      <c r="C1083" s="74" t="s">
        <v>206</v>
      </c>
      <c r="D1083" s="74" t="s">
        <v>30</v>
      </c>
      <c r="E1083" s="74" t="s">
        <v>68</v>
      </c>
      <c r="F1083" s="80">
        <v>7.458422467680474</v>
      </c>
    </row>
    <row r="1084">
      <c r="A1084" s="76">
        <v>47.0</v>
      </c>
      <c r="B1084" s="74" t="s">
        <v>120</v>
      </c>
      <c r="C1084" s="74" t="s">
        <v>121</v>
      </c>
      <c r="D1084" s="74" t="s">
        <v>11</v>
      </c>
      <c r="E1084" s="74" t="s">
        <v>52</v>
      </c>
      <c r="F1084" s="77">
        <v>57.70842246768048</v>
      </c>
    </row>
    <row r="1085">
      <c r="A1085" s="76">
        <v>76.0</v>
      </c>
      <c r="B1085" s="74" t="s">
        <v>213</v>
      </c>
      <c r="C1085" s="74" t="s">
        <v>214</v>
      </c>
      <c r="D1085" s="74" t="s">
        <v>11</v>
      </c>
      <c r="E1085" s="74" t="s">
        <v>31</v>
      </c>
      <c r="F1085" s="80">
        <v>42.468422467680476</v>
      </c>
    </row>
    <row r="1086">
      <c r="A1086" s="76">
        <v>89.0</v>
      </c>
      <c r="B1086" s="74" t="s">
        <v>135</v>
      </c>
      <c r="C1086" s="74" t="s">
        <v>136</v>
      </c>
      <c r="D1086" s="74" t="s">
        <v>30</v>
      </c>
      <c r="E1086" s="74" t="s">
        <v>56</v>
      </c>
      <c r="F1086" s="77">
        <v>77.27842246768047</v>
      </c>
    </row>
    <row r="1087">
      <c r="A1087" s="76">
        <v>1.0</v>
      </c>
      <c r="B1087" s="74" t="s">
        <v>194</v>
      </c>
      <c r="C1087" s="74" t="s">
        <v>195</v>
      </c>
      <c r="D1087" s="74" t="s">
        <v>11</v>
      </c>
      <c r="E1087" s="74" t="s">
        <v>68</v>
      </c>
      <c r="F1087" s="80">
        <v>7.458422467680474</v>
      </c>
    </row>
    <row r="1088">
      <c r="A1088" s="76">
        <v>54.0</v>
      </c>
      <c r="B1088" s="74" t="s">
        <v>86</v>
      </c>
      <c r="C1088" s="74" t="s">
        <v>87</v>
      </c>
      <c r="D1088" s="74" t="s">
        <v>30</v>
      </c>
      <c r="E1088" s="74" t="s">
        <v>35</v>
      </c>
      <c r="F1088" s="77">
        <v>19.388422467680474</v>
      </c>
    </row>
    <row r="1089">
      <c r="A1089" s="76">
        <v>17.0</v>
      </c>
      <c r="B1089" s="74" t="s">
        <v>200</v>
      </c>
      <c r="C1089" s="74" t="s">
        <v>201</v>
      </c>
      <c r="D1089" s="74" t="s">
        <v>30</v>
      </c>
      <c r="E1089" s="74" t="s">
        <v>60</v>
      </c>
      <c r="F1089" s="80">
        <v>55.658422467680474</v>
      </c>
    </row>
    <row r="1090">
      <c r="A1090" s="76">
        <v>46.0</v>
      </c>
      <c r="B1090" s="74" t="s">
        <v>143</v>
      </c>
      <c r="C1090" s="74" t="s">
        <v>144</v>
      </c>
      <c r="D1090" s="74" t="s">
        <v>30</v>
      </c>
      <c r="E1090" s="74" t="s">
        <v>60</v>
      </c>
      <c r="F1090" s="77">
        <v>47.30842246768047</v>
      </c>
    </row>
    <row r="1091">
      <c r="A1091" s="76">
        <v>85.0</v>
      </c>
      <c r="B1091" s="74" t="s">
        <v>198</v>
      </c>
      <c r="C1091" s="74" t="s">
        <v>199</v>
      </c>
      <c r="D1091" s="74" t="s">
        <v>30</v>
      </c>
      <c r="E1091" s="74" t="s">
        <v>12</v>
      </c>
      <c r="F1091" s="80">
        <v>9.438422467680473</v>
      </c>
    </row>
    <row r="1092">
      <c r="A1092" s="76">
        <v>94.0</v>
      </c>
      <c r="B1092" s="74" t="s">
        <v>207</v>
      </c>
      <c r="C1092" s="74" t="s">
        <v>237</v>
      </c>
      <c r="D1092" s="74" t="s">
        <v>30</v>
      </c>
      <c r="E1092" s="74" t="s">
        <v>12</v>
      </c>
      <c r="F1092" s="77">
        <v>9.658422467680474</v>
      </c>
    </row>
    <row r="1093">
      <c r="A1093" s="76">
        <v>61.0</v>
      </c>
      <c r="B1093" s="74" t="s">
        <v>106</v>
      </c>
      <c r="C1093" s="74" t="s">
        <v>107</v>
      </c>
      <c r="D1093" s="74" t="s">
        <v>11</v>
      </c>
      <c r="E1093" s="74" t="s">
        <v>76</v>
      </c>
      <c r="F1093" s="80">
        <v>10.128422467680473</v>
      </c>
    </row>
    <row r="1094">
      <c r="A1094" s="76">
        <v>36.0</v>
      </c>
      <c r="B1094" s="74" t="s">
        <v>92</v>
      </c>
      <c r="C1094" s="74" t="s">
        <v>93</v>
      </c>
      <c r="D1094" s="74" t="s">
        <v>30</v>
      </c>
      <c r="E1094" s="74" t="s">
        <v>50</v>
      </c>
      <c r="F1094" s="77">
        <v>28.958422467680474</v>
      </c>
    </row>
    <row r="1095">
      <c r="A1095" s="76">
        <v>92.0</v>
      </c>
      <c r="B1095" s="74" t="s">
        <v>112</v>
      </c>
      <c r="C1095" s="74" t="s">
        <v>197</v>
      </c>
      <c r="D1095" s="74" t="s">
        <v>30</v>
      </c>
      <c r="E1095" s="74" t="s">
        <v>50</v>
      </c>
      <c r="F1095" s="80">
        <v>21.088422467680473</v>
      </c>
    </row>
    <row r="1096">
      <c r="A1096" s="76">
        <v>58.0</v>
      </c>
      <c r="B1096" s="74" t="s">
        <v>165</v>
      </c>
      <c r="C1096" s="74" t="s">
        <v>166</v>
      </c>
      <c r="D1096" s="74" t="s">
        <v>30</v>
      </c>
      <c r="E1096" s="74" t="s">
        <v>35</v>
      </c>
      <c r="F1096" s="77">
        <v>20.398422467680476</v>
      </c>
    </row>
    <row r="1097">
      <c r="A1097" s="76">
        <v>25.0</v>
      </c>
      <c r="B1097" s="74" t="s">
        <v>154</v>
      </c>
      <c r="C1097" s="74" t="s">
        <v>155</v>
      </c>
      <c r="D1097" s="74" t="s">
        <v>30</v>
      </c>
      <c r="E1097" s="74" t="s">
        <v>46</v>
      </c>
      <c r="F1097" s="80">
        <v>13.898422467680474</v>
      </c>
    </row>
    <row r="1098">
      <c r="A1098" s="76">
        <v>22.0</v>
      </c>
      <c r="B1098" s="74" t="s">
        <v>131</v>
      </c>
      <c r="C1098" s="74" t="s">
        <v>132</v>
      </c>
      <c r="D1098" s="74" t="s">
        <v>30</v>
      </c>
      <c r="E1098" s="74" t="s">
        <v>76</v>
      </c>
      <c r="F1098" s="77">
        <v>9.968422467680472</v>
      </c>
    </row>
    <row r="1099">
      <c r="A1099" s="76">
        <v>88.0</v>
      </c>
      <c r="B1099" s="74" t="s">
        <v>200</v>
      </c>
      <c r="C1099" s="74" t="s">
        <v>206</v>
      </c>
      <c r="D1099" s="74" t="s">
        <v>30</v>
      </c>
      <c r="E1099" s="74" t="s">
        <v>31</v>
      </c>
      <c r="F1099" s="80">
        <v>35.19842246768047</v>
      </c>
    </row>
    <row r="1100">
      <c r="A1100" s="76">
        <v>8.0</v>
      </c>
      <c r="B1100" s="74" t="s">
        <v>108</v>
      </c>
      <c r="C1100" s="74" t="s">
        <v>109</v>
      </c>
      <c r="D1100" s="74" t="s">
        <v>30</v>
      </c>
      <c r="E1100" s="74" t="s">
        <v>56</v>
      </c>
      <c r="F1100" s="77">
        <v>61.48842246768047</v>
      </c>
    </row>
    <row r="1101">
      <c r="A1101" s="76">
        <v>16.0</v>
      </c>
      <c r="B1101" s="74" t="s">
        <v>175</v>
      </c>
      <c r="C1101" s="74" t="s">
        <v>176</v>
      </c>
      <c r="D1101" s="74" t="s">
        <v>11</v>
      </c>
      <c r="E1101" s="74" t="s">
        <v>79</v>
      </c>
      <c r="F1101" s="80">
        <v>31.618422467680475</v>
      </c>
    </row>
    <row r="1102">
      <c r="A1102" s="76">
        <v>44.0</v>
      </c>
      <c r="B1102" s="74" t="s">
        <v>215</v>
      </c>
      <c r="C1102" s="74" t="s">
        <v>216</v>
      </c>
      <c r="D1102" s="74" t="s">
        <v>30</v>
      </c>
      <c r="E1102" s="74" t="s">
        <v>79</v>
      </c>
      <c r="F1102" s="77">
        <v>35.478422467680474</v>
      </c>
    </row>
    <row r="1103">
      <c r="A1103" s="76">
        <v>72.0</v>
      </c>
      <c r="B1103" s="74" t="s">
        <v>133</v>
      </c>
      <c r="C1103" s="74" t="s">
        <v>134</v>
      </c>
      <c r="D1103" s="74" t="s">
        <v>11</v>
      </c>
      <c r="E1103" s="74" t="s">
        <v>12</v>
      </c>
      <c r="F1103" s="80">
        <v>9.528422467680473</v>
      </c>
    </row>
    <row r="1104">
      <c r="A1104" s="76">
        <v>80.0</v>
      </c>
      <c r="B1104" s="74" t="s">
        <v>37</v>
      </c>
      <c r="C1104" s="74" t="s">
        <v>38</v>
      </c>
      <c r="D1104" s="74" t="s">
        <v>11</v>
      </c>
      <c r="E1104" s="74" t="s">
        <v>60</v>
      </c>
      <c r="F1104" s="77">
        <v>48.66842246768047</v>
      </c>
    </row>
    <row r="1105">
      <c r="A1105" s="76">
        <v>85.0</v>
      </c>
      <c r="B1105" s="74" t="s">
        <v>198</v>
      </c>
      <c r="C1105" s="74" t="s">
        <v>199</v>
      </c>
      <c r="D1105" s="74" t="s">
        <v>11</v>
      </c>
      <c r="E1105" s="74" t="s">
        <v>97</v>
      </c>
      <c r="F1105" s="80">
        <v>1.888422467680474</v>
      </c>
    </row>
    <row r="1106">
      <c r="A1106" s="76">
        <v>28.0</v>
      </c>
      <c r="B1106" s="74" t="s">
        <v>77</v>
      </c>
      <c r="C1106" s="74" t="s">
        <v>78</v>
      </c>
      <c r="D1106" s="74" t="s">
        <v>11</v>
      </c>
      <c r="E1106" s="74" t="s">
        <v>12</v>
      </c>
      <c r="F1106" s="77">
        <v>9.748422467680474</v>
      </c>
    </row>
    <row r="1107">
      <c r="A1107" s="76">
        <v>40.0</v>
      </c>
      <c r="B1107" s="74" t="s">
        <v>122</v>
      </c>
      <c r="C1107" s="74" t="s">
        <v>185</v>
      </c>
      <c r="D1107" s="74" t="s">
        <v>11</v>
      </c>
      <c r="E1107" s="74" t="s">
        <v>39</v>
      </c>
      <c r="F1107" s="80">
        <v>23.918422467680475</v>
      </c>
    </row>
    <row r="1108">
      <c r="A1108" s="76">
        <v>36.0</v>
      </c>
      <c r="B1108" s="74" t="s">
        <v>92</v>
      </c>
      <c r="C1108" s="74" t="s">
        <v>93</v>
      </c>
      <c r="D1108" s="74" t="s">
        <v>30</v>
      </c>
      <c r="E1108" s="74" t="s">
        <v>88</v>
      </c>
      <c r="F1108" s="77">
        <v>37.95842246768048</v>
      </c>
    </row>
    <row r="1109">
      <c r="A1109" s="76">
        <v>91.0</v>
      </c>
      <c r="B1109" s="74" t="s">
        <v>112</v>
      </c>
      <c r="C1109" s="74" t="s">
        <v>113</v>
      </c>
      <c r="D1109" s="74" t="s">
        <v>30</v>
      </c>
      <c r="E1109" s="74" t="s">
        <v>52</v>
      </c>
      <c r="F1109" s="80">
        <v>60.148422467680476</v>
      </c>
    </row>
    <row r="1110">
      <c r="A1110" s="76">
        <v>61.0</v>
      </c>
      <c r="B1110" s="74" t="s">
        <v>106</v>
      </c>
      <c r="C1110" s="74" t="s">
        <v>107</v>
      </c>
      <c r="D1110" s="74" t="s">
        <v>30</v>
      </c>
      <c r="E1110" s="74" t="s">
        <v>79</v>
      </c>
      <c r="F1110" s="77">
        <v>26.108422467680477</v>
      </c>
    </row>
    <row r="1111">
      <c r="A1111" s="76">
        <v>91.0</v>
      </c>
      <c r="B1111" s="74" t="s">
        <v>112</v>
      </c>
      <c r="C1111" s="74" t="s">
        <v>113</v>
      </c>
      <c r="D1111" s="74" t="s">
        <v>11</v>
      </c>
      <c r="E1111" s="74" t="s">
        <v>31</v>
      </c>
      <c r="F1111" s="80">
        <v>52.078422467680475</v>
      </c>
    </row>
    <row r="1112">
      <c r="A1112" s="76">
        <v>92.0</v>
      </c>
      <c r="B1112" s="74" t="s">
        <v>112</v>
      </c>
      <c r="C1112" s="74" t="s">
        <v>197</v>
      </c>
      <c r="D1112" s="74" t="s">
        <v>30</v>
      </c>
      <c r="E1112" s="74" t="s">
        <v>35</v>
      </c>
      <c r="F1112" s="77">
        <v>11.308422467680472</v>
      </c>
    </row>
    <row r="1113">
      <c r="A1113" s="76">
        <v>2.0</v>
      </c>
      <c r="B1113" s="74" t="s">
        <v>83</v>
      </c>
      <c r="C1113" s="74" t="s">
        <v>84</v>
      </c>
      <c r="D1113" s="74" t="s">
        <v>30</v>
      </c>
      <c r="E1113" s="74" t="s">
        <v>43</v>
      </c>
      <c r="F1113" s="80">
        <v>16.548422467680474</v>
      </c>
    </row>
    <row r="1114">
      <c r="A1114" s="76">
        <v>9.0</v>
      </c>
      <c r="B1114" s="74" t="s">
        <v>207</v>
      </c>
      <c r="C1114" s="74" t="s">
        <v>208</v>
      </c>
      <c r="D1114" s="74" t="s">
        <v>30</v>
      </c>
      <c r="E1114" s="74" t="s">
        <v>88</v>
      </c>
      <c r="F1114" s="77">
        <v>40.02842246768048</v>
      </c>
    </row>
    <row r="1115">
      <c r="A1115" s="76">
        <v>70.0</v>
      </c>
      <c r="B1115" s="74" t="s">
        <v>152</v>
      </c>
      <c r="C1115" s="74" t="s">
        <v>153</v>
      </c>
      <c r="D1115" s="74" t="s">
        <v>11</v>
      </c>
      <c r="E1115" s="74" t="s">
        <v>46</v>
      </c>
      <c r="F1115" s="80">
        <v>12.278422467680473</v>
      </c>
    </row>
    <row r="1116">
      <c r="A1116" s="76">
        <v>4.0</v>
      </c>
      <c r="B1116" s="74" t="s">
        <v>118</v>
      </c>
      <c r="C1116" s="74" t="s">
        <v>119</v>
      </c>
      <c r="D1116" s="74" t="s">
        <v>30</v>
      </c>
      <c r="E1116" s="74" t="s">
        <v>35</v>
      </c>
      <c r="F1116" s="77">
        <v>13.048422467680473</v>
      </c>
    </row>
    <row r="1117">
      <c r="A1117" s="76">
        <v>46.0</v>
      </c>
      <c r="B1117" s="74" t="s">
        <v>143</v>
      </c>
      <c r="C1117" s="74" t="s">
        <v>144</v>
      </c>
      <c r="D1117" s="74" t="s">
        <v>30</v>
      </c>
      <c r="E1117" s="74" t="s">
        <v>79</v>
      </c>
      <c r="F1117" s="80">
        <v>34.56842246768048</v>
      </c>
    </row>
    <row r="1118">
      <c r="A1118" s="76">
        <v>74.0</v>
      </c>
      <c r="B1118" s="74" t="s">
        <v>9</v>
      </c>
      <c r="C1118" s="74" t="s">
        <v>124</v>
      </c>
      <c r="D1118" s="74" t="s">
        <v>11</v>
      </c>
      <c r="E1118" s="74" t="s">
        <v>43</v>
      </c>
      <c r="F1118" s="77">
        <v>13.068422467680474</v>
      </c>
    </row>
    <row r="1119">
      <c r="A1119" s="76">
        <v>41.0</v>
      </c>
      <c r="B1119" s="74" t="s">
        <v>217</v>
      </c>
      <c r="C1119" s="74" t="s">
        <v>218</v>
      </c>
      <c r="D1119" s="74" t="s">
        <v>30</v>
      </c>
      <c r="E1119" s="74" t="s">
        <v>97</v>
      </c>
      <c r="F1119" s="80">
        <v>3.558422467680474</v>
      </c>
    </row>
    <row r="1120">
      <c r="A1120" s="76">
        <v>47.0</v>
      </c>
      <c r="B1120" s="74" t="s">
        <v>120</v>
      </c>
      <c r="C1120" s="74" t="s">
        <v>121</v>
      </c>
      <c r="D1120" s="74" t="s">
        <v>30</v>
      </c>
      <c r="E1120" s="74" t="s">
        <v>91</v>
      </c>
      <c r="F1120" s="77">
        <v>0.8684224676804737</v>
      </c>
    </row>
    <row r="1121">
      <c r="A1121" s="76">
        <v>22.0</v>
      </c>
      <c r="B1121" s="74" t="s">
        <v>131</v>
      </c>
      <c r="C1121" s="74" t="s">
        <v>132</v>
      </c>
      <c r="D1121" s="74" t="s">
        <v>30</v>
      </c>
      <c r="E1121" s="74" t="s">
        <v>79</v>
      </c>
      <c r="F1121" s="80">
        <v>30.578422467680475</v>
      </c>
    </row>
    <row r="1122">
      <c r="A1122" s="76">
        <v>19.0</v>
      </c>
      <c r="B1122" s="74" t="s">
        <v>41</v>
      </c>
      <c r="C1122" s="74" t="s">
        <v>193</v>
      </c>
      <c r="D1122" s="74" t="s">
        <v>11</v>
      </c>
      <c r="E1122" s="74" t="s">
        <v>79</v>
      </c>
      <c r="F1122" s="77">
        <v>32.87842246768047</v>
      </c>
    </row>
    <row r="1123">
      <c r="A1123" s="76">
        <v>2.0</v>
      </c>
      <c r="B1123" s="74" t="s">
        <v>83</v>
      </c>
      <c r="C1123" s="74" t="s">
        <v>84</v>
      </c>
      <c r="D1123" s="74" t="s">
        <v>11</v>
      </c>
      <c r="E1123" s="74" t="s">
        <v>88</v>
      </c>
      <c r="F1123" s="80">
        <v>38.508422467680475</v>
      </c>
    </row>
    <row r="1124">
      <c r="A1124" s="76">
        <v>47.0</v>
      </c>
      <c r="B1124" s="74" t="s">
        <v>120</v>
      </c>
      <c r="C1124" s="74" t="s">
        <v>121</v>
      </c>
      <c r="D1124" s="74" t="s">
        <v>11</v>
      </c>
      <c r="E1124" s="74" t="s">
        <v>91</v>
      </c>
      <c r="F1124" s="77">
        <v>1.5184224676804738</v>
      </c>
    </row>
    <row r="1125">
      <c r="A1125" s="76">
        <v>53.0</v>
      </c>
      <c r="B1125" s="74" t="s">
        <v>241</v>
      </c>
      <c r="C1125" s="74" t="s">
        <v>242</v>
      </c>
      <c r="D1125" s="74" t="s">
        <v>11</v>
      </c>
      <c r="E1125" s="74" t="s">
        <v>50</v>
      </c>
      <c r="F1125" s="80">
        <v>31.728422467680474</v>
      </c>
    </row>
    <row r="1126">
      <c r="A1126" s="76">
        <v>5.0</v>
      </c>
      <c r="B1126" s="74" t="s">
        <v>167</v>
      </c>
      <c r="C1126" s="74" t="s">
        <v>168</v>
      </c>
      <c r="D1126" s="74" t="s">
        <v>11</v>
      </c>
      <c r="E1126" s="74" t="s">
        <v>94</v>
      </c>
      <c r="F1126" s="77">
        <v>31.41842246768047</v>
      </c>
    </row>
    <row r="1127">
      <c r="A1127" s="76">
        <v>60.0</v>
      </c>
      <c r="B1127" s="74" t="s">
        <v>65</v>
      </c>
      <c r="C1127" s="74" t="s">
        <v>66</v>
      </c>
      <c r="D1127" s="74" t="s">
        <v>11</v>
      </c>
      <c r="E1127" s="74" t="s">
        <v>46</v>
      </c>
      <c r="F1127" s="80">
        <v>12.298422467680473</v>
      </c>
    </row>
    <row r="1128">
      <c r="A1128" s="76">
        <v>30.0</v>
      </c>
      <c r="B1128" s="74" t="s">
        <v>9</v>
      </c>
      <c r="C1128" s="74" t="s">
        <v>10</v>
      </c>
      <c r="D1128" s="74" t="s">
        <v>11</v>
      </c>
      <c r="E1128" s="74" t="s">
        <v>68</v>
      </c>
      <c r="F1128" s="77">
        <v>6.098422467680474</v>
      </c>
    </row>
    <row r="1129">
      <c r="A1129" s="76">
        <v>73.0</v>
      </c>
      <c r="B1129" s="74" t="s">
        <v>223</v>
      </c>
      <c r="C1129" s="74" t="s">
        <v>224</v>
      </c>
      <c r="D1129" s="74" t="s">
        <v>30</v>
      </c>
      <c r="E1129" s="74" t="s">
        <v>85</v>
      </c>
      <c r="F1129" s="80">
        <v>13.088422467680473</v>
      </c>
    </row>
    <row r="1130">
      <c r="A1130" s="76">
        <v>87.0</v>
      </c>
      <c r="B1130" s="74" t="s">
        <v>243</v>
      </c>
      <c r="C1130" s="74" t="s">
        <v>244</v>
      </c>
      <c r="D1130" s="74" t="s">
        <v>30</v>
      </c>
      <c r="E1130" s="74" t="s">
        <v>82</v>
      </c>
      <c r="F1130" s="77">
        <v>13.938422467680473</v>
      </c>
    </row>
    <row r="1131">
      <c r="A1131" s="76">
        <v>77.0</v>
      </c>
      <c r="B1131" s="74" t="s">
        <v>9</v>
      </c>
      <c r="C1131" s="74" t="s">
        <v>169</v>
      </c>
      <c r="D1131" s="74" t="s">
        <v>30</v>
      </c>
      <c r="E1131" s="74" t="s">
        <v>43</v>
      </c>
      <c r="F1131" s="80">
        <v>12.198422467680473</v>
      </c>
    </row>
    <row r="1132">
      <c r="A1132" s="76">
        <v>81.0</v>
      </c>
      <c r="B1132" s="74" t="s">
        <v>54</v>
      </c>
      <c r="C1132" s="74" t="s">
        <v>55</v>
      </c>
      <c r="D1132" s="74" t="s">
        <v>30</v>
      </c>
      <c r="E1132" s="74" t="s">
        <v>76</v>
      </c>
      <c r="F1132" s="77">
        <v>11.578422467680474</v>
      </c>
    </row>
    <row r="1133">
      <c r="A1133" s="76">
        <v>40.0</v>
      </c>
      <c r="B1133" s="74" t="s">
        <v>122</v>
      </c>
      <c r="C1133" s="74" t="s">
        <v>185</v>
      </c>
      <c r="D1133" s="74" t="s">
        <v>30</v>
      </c>
      <c r="E1133" s="74" t="s">
        <v>72</v>
      </c>
      <c r="F1133" s="80">
        <v>16.818422467680474</v>
      </c>
    </row>
    <row r="1134">
      <c r="A1134" s="76">
        <v>81.0</v>
      </c>
      <c r="B1134" s="74" t="s">
        <v>54</v>
      </c>
      <c r="C1134" s="74" t="s">
        <v>55</v>
      </c>
      <c r="D1134" s="74" t="s">
        <v>30</v>
      </c>
      <c r="E1134" s="74" t="s">
        <v>56</v>
      </c>
      <c r="F1134" s="77">
        <v>65.57842246768047</v>
      </c>
    </row>
    <row r="1135">
      <c r="A1135" s="76">
        <v>10.0</v>
      </c>
      <c r="B1135" s="74" t="s">
        <v>148</v>
      </c>
      <c r="C1135" s="74" t="s">
        <v>149</v>
      </c>
      <c r="D1135" s="74" t="s">
        <v>30</v>
      </c>
      <c r="E1135" s="74" t="s">
        <v>39</v>
      </c>
      <c r="F1135" s="80">
        <v>39.17842246768048</v>
      </c>
    </row>
    <row r="1136">
      <c r="A1136" s="76">
        <v>40.0</v>
      </c>
      <c r="B1136" s="74" t="s">
        <v>122</v>
      </c>
      <c r="C1136" s="74" t="s">
        <v>185</v>
      </c>
      <c r="D1136" s="74" t="s">
        <v>11</v>
      </c>
      <c r="E1136" s="74" t="s">
        <v>12</v>
      </c>
      <c r="F1136" s="77">
        <v>9.458422467680473</v>
      </c>
    </row>
    <row r="1137">
      <c r="A1137" s="76">
        <v>41.0</v>
      </c>
      <c r="B1137" s="74" t="s">
        <v>217</v>
      </c>
      <c r="C1137" s="74" t="s">
        <v>218</v>
      </c>
      <c r="D1137" s="74" t="s">
        <v>30</v>
      </c>
      <c r="E1137" s="74" t="s">
        <v>39</v>
      </c>
      <c r="F1137" s="80">
        <v>33.118422467680475</v>
      </c>
    </row>
    <row r="1138">
      <c r="A1138" s="76">
        <v>98.0</v>
      </c>
      <c r="B1138" s="74" t="s">
        <v>159</v>
      </c>
      <c r="C1138" s="74" t="s">
        <v>196</v>
      </c>
      <c r="D1138" s="74" t="s">
        <v>11</v>
      </c>
      <c r="E1138" s="74" t="s">
        <v>82</v>
      </c>
      <c r="F1138" s="77">
        <v>10.098422467680473</v>
      </c>
    </row>
    <row r="1139">
      <c r="A1139" s="76">
        <v>85.0</v>
      </c>
      <c r="B1139" s="74" t="s">
        <v>198</v>
      </c>
      <c r="C1139" s="74" t="s">
        <v>199</v>
      </c>
      <c r="D1139" s="74" t="s">
        <v>11</v>
      </c>
      <c r="E1139" s="74" t="s">
        <v>88</v>
      </c>
      <c r="F1139" s="80">
        <v>33.938422467680475</v>
      </c>
    </row>
    <row r="1140">
      <c r="A1140" s="76">
        <v>97.0</v>
      </c>
      <c r="B1140" s="74" t="s">
        <v>69</v>
      </c>
      <c r="C1140" s="74" t="s">
        <v>70</v>
      </c>
      <c r="D1140" s="74" t="s">
        <v>11</v>
      </c>
      <c r="E1140" s="74" t="s">
        <v>46</v>
      </c>
      <c r="F1140" s="77">
        <v>11.168422467680474</v>
      </c>
    </row>
    <row r="1141">
      <c r="A1141" s="76">
        <v>75.0</v>
      </c>
      <c r="B1141" s="74" t="s">
        <v>238</v>
      </c>
      <c r="C1141" s="74" t="s">
        <v>239</v>
      </c>
      <c r="D1141" s="74" t="s">
        <v>11</v>
      </c>
      <c r="E1141" s="74" t="s">
        <v>76</v>
      </c>
      <c r="F1141" s="80">
        <v>11.568422467680474</v>
      </c>
    </row>
    <row r="1142">
      <c r="A1142" s="76">
        <v>48.0</v>
      </c>
      <c r="B1142" s="74" t="s">
        <v>41</v>
      </c>
      <c r="C1142" s="74" t="s">
        <v>45</v>
      </c>
      <c r="D1142" s="74" t="s">
        <v>30</v>
      </c>
      <c r="E1142" s="74" t="s">
        <v>97</v>
      </c>
      <c r="F1142" s="77">
        <v>1.7784224676804736</v>
      </c>
    </row>
    <row r="1143">
      <c r="A1143" s="76">
        <v>3.0</v>
      </c>
      <c r="B1143" s="74" t="s">
        <v>80</v>
      </c>
      <c r="C1143" s="74" t="s">
        <v>81</v>
      </c>
      <c r="D1143" s="74" t="s">
        <v>11</v>
      </c>
      <c r="E1143" s="74" t="s">
        <v>43</v>
      </c>
      <c r="F1143" s="80">
        <v>17.358422467680477</v>
      </c>
    </row>
    <row r="1144">
      <c r="A1144" s="76">
        <v>73.0</v>
      </c>
      <c r="B1144" s="74" t="s">
        <v>223</v>
      </c>
      <c r="C1144" s="74" t="s">
        <v>224</v>
      </c>
      <c r="D1144" s="74" t="s">
        <v>11</v>
      </c>
      <c r="E1144" s="74" t="s">
        <v>46</v>
      </c>
      <c r="F1144" s="77">
        <v>11.658422467680474</v>
      </c>
    </row>
    <row r="1145">
      <c r="A1145" s="76">
        <v>64.0</v>
      </c>
      <c r="B1145" s="74" t="s">
        <v>159</v>
      </c>
      <c r="C1145" s="74" t="s">
        <v>160</v>
      </c>
      <c r="D1145" s="74" t="s">
        <v>30</v>
      </c>
      <c r="E1145" s="74" t="s">
        <v>91</v>
      </c>
      <c r="F1145" s="80">
        <v>2.148422467680474</v>
      </c>
    </row>
    <row r="1146">
      <c r="A1146" s="76">
        <v>60.0</v>
      </c>
      <c r="B1146" s="74" t="s">
        <v>65</v>
      </c>
      <c r="C1146" s="74" t="s">
        <v>66</v>
      </c>
      <c r="D1146" s="74" t="s">
        <v>30</v>
      </c>
      <c r="E1146" s="74" t="s">
        <v>94</v>
      </c>
      <c r="F1146" s="77">
        <v>27.788422467680476</v>
      </c>
    </row>
    <row r="1147">
      <c r="A1147" s="76">
        <v>51.0</v>
      </c>
      <c r="B1147" s="74" t="s">
        <v>233</v>
      </c>
      <c r="C1147" s="74" t="s">
        <v>234</v>
      </c>
      <c r="D1147" s="74" t="s">
        <v>11</v>
      </c>
      <c r="E1147" s="74" t="s">
        <v>31</v>
      </c>
      <c r="F1147" s="80">
        <v>49.788422467680476</v>
      </c>
    </row>
    <row r="1148">
      <c r="A1148" s="76">
        <v>38.0</v>
      </c>
      <c r="B1148" s="74" t="s">
        <v>116</v>
      </c>
      <c r="C1148" s="74" t="s">
        <v>117</v>
      </c>
      <c r="D1148" s="74" t="s">
        <v>30</v>
      </c>
      <c r="E1148" s="74" t="s">
        <v>88</v>
      </c>
      <c r="F1148" s="77">
        <v>37.69842246768047</v>
      </c>
    </row>
    <row r="1149">
      <c r="A1149" s="76">
        <v>24.0</v>
      </c>
      <c r="B1149" s="74" t="s">
        <v>139</v>
      </c>
      <c r="C1149" s="74" t="s">
        <v>140</v>
      </c>
      <c r="D1149" s="74" t="s">
        <v>11</v>
      </c>
      <c r="E1149" s="74" t="s">
        <v>88</v>
      </c>
      <c r="F1149" s="80">
        <v>39.978422467680474</v>
      </c>
    </row>
    <row r="1150">
      <c r="A1150" s="76">
        <v>41.0</v>
      </c>
      <c r="B1150" s="74" t="s">
        <v>217</v>
      </c>
      <c r="C1150" s="74" t="s">
        <v>218</v>
      </c>
      <c r="D1150" s="74" t="s">
        <v>11</v>
      </c>
      <c r="E1150" s="74" t="s">
        <v>12</v>
      </c>
      <c r="F1150" s="77">
        <v>9.668422467680474</v>
      </c>
    </row>
    <row r="1151">
      <c r="A1151" s="76">
        <v>26.0</v>
      </c>
      <c r="B1151" s="74" t="s">
        <v>211</v>
      </c>
      <c r="C1151" s="74" t="s">
        <v>212</v>
      </c>
      <c r="D1151" s="74" t="s">
        <v>30</v>
      </c>
      <c r="E1151" s="74" t="s">
        <v>39</v>
      </c>
      <c r="F1151" s="80">
        <v>16.428422467680473</v>
      </c>
    </row>
    <row r="1152">
      <c r="A1152" s="76">
        <v>76.0</v>
      </c>
      <c r="B1152" s="74" t="s">
        <v>213</v>
      </c>
      <c r="C1152" s="74" t="s">
        <v>214</v>
      </c>
      <c r="D1152" s="74" t="s">
        <v>30</v>
      </c>
      <c r="E1152" s="74" t="s">
        <v>82</v>
      </c>
      <c r="F1152" s="77">
        <v>10.898422467680474</v>
      </c>
    </row>
    <row r="1153">
      <c r="A1153" s="76">
        <v>49.0</v>
      </c>
      <c r="B1153" s="74" t="s">
        <v>179</v>
      </c>
      <c r="C1153" s="74" t="s">
        <v>180</v>
      </c>
      <c r="D1153" s="74" t="s">
        <v>30</v>
      </c>
      <c r="E1153" s="74" t="s">
        <v>82</v>
      </c>
      <c r="F1153" s="80">
        <v>14.078422467680474</v>
      </c>
    </row>
    <row r="1154">
      <c r="A1154" s="76">
        <v>36.0</v>
      </c>
      <c r="B1154" s="74" t="s">
        <v>92</v>
      </c>
      <c r="C1154" s="74" t="s">
        <v>93</v>
      </c>
      <c r="D1154" s="74" t="s">
        <v>11</v>
      </c>
      <c r="E1154" s="74" t="s">
        <v>91</v>
      </c>
      <c r="F1154" s="77">
        <v>2.188422467680474</v>
      </c>
    </row>
    <row r="1155">
      <c r="A1155" s="76">
        <v>40.0</v>
      </c>
      <c r="B1155" s="74" t="s">
        <v>122</v>
      </c>
      <c r="C1155" s="74" t="s">
        <v>185</v>
      </c>
      <c r="D1155" s="74" t="s">
        <v>30</v>
      </c>
      <c r="E1155" s="74" t="s">
        <v>91</v>
      </c>
      <c r="F1155" s="80">
        <v>1.5584224676804739</v>
      </c>
    </row>
    <row r="1156">
      <c r="A1156" s="76">
        <v>32.0</v>
      </c>
      <c r="B1156" s="74" t="s">
        <v>146</v>
      </c>
      <c r="C1156" s="74" t="s">
        <v>147</v>
      </c>
      <c r="D1156" s="74" t="s">
        <v>11</v>
      </c>
      <c r="E1156" s="74" t="s">
        <v>35</v>
      </c>
      <c r="F1156" s="77">
        <v>14.698422467680473</v>
      </c>
    </row>
    <row r="1157">
      <c r="A1157" s="76">
        <v>63.0</v>
      </c>
      <c r="B1157" s="74" t="s">
        <v>225</v>
      </c>
      <c r="C1157" s="74" t="s">
        <v>226</v>
      </c>
      <c r="D1157" s="74" t="s">
        <v>11</v>
      </c>
      <c r="E1157" s="74" t="s">
        <v>35</v>
      </c>
      <c r="F1157" s="80">
        <v>12.348422467680473</v>
      </c>
    </row>
    <row r="1158">
      <c r="A1158" s="76">
        <v>4.0</v>
      </c>
      <c r="B1158" s="74" t="s">
        <v>118</v>
      </c>
      <c r="C1158" s="74" t="s">
        <v>119</v>
      </c>
      <c r="D1158" s="74" t="s">
        <v>11</v>
      </c>
      <c r="E1158" s="74" t="s">
        <v>12</v>
      </c>
      <c r="F1158" s="77">
        <v>9.628422467680473</v>
      </c>
    </row>
    <row r="1159">
      <c r="A1159" s="76">
        <v>52.0</v>
      </c>
      <c r="B1159" s="74" t="s">
        <v>181</v>
      </c>
      <c r="C1159" s="74" t="s">
        <v>182</v>
      </c>
      <c r="D1159" s="74" t="s">
        <v>30</v>
      </c>
      <c r="E1159" s="74" t="s">
        <v>97</v>
      </c>
      <c r="F1159" s="80">
        <v>2.1184224676804737</v>
      </c>
    </row>
    <row r="1160">
      <c r="A1160" s="76">
        <v>83.0</v>
      </c>
      <c r="B1160" s="74" t="s">
        <v>98</v>
      </c>
      <c r="C1160" s="74" t="s">
        <v>99</v>
      </c>
      <c r="D1160" s="74" t="s">
        <v>11</v>
      </c>
      <c r="E1160" s="74" t="s">
        <v>60</v>
      </c>
      <c r="F1160" s="77">
        <v>42.56842246768048</v>
      </c>
    </row>
    <row r="1161">
      <c r="A1161" s="76">
        <v>58.0</v>
      </c>
      <c r="B1161" s="74" t="s">
        <v>165</v>
      </c>
      <c r="C1161" s="74" t="s">
        <v>166</v>
      </c>
      <c r="D1161" s="74" t="s">
        <v>30</v>
      </c>
      <c r="E1161" s="74" t="s">
        <v>97</v>
      </c>
      <c r="F1161" s="80">
        <v>1.9984224676804738</v>
      </c>
    </row>
    <row r="1162">
      <c r="A1162" s="76">
        <v>88.0</v>
      </c>
      <c r="B1162" s="74" t="s">
        <v>200</v>
      </c>
      <c r="C1162" s="74" t="s">
        <v>206</v>
      </c>
      <c r="D1162" s="74" t="s">
        <v>30</v>
      </c>
      <c r="E1162" s="74" t="s">
        <v>82</v>
      </c>
      <c r="F1162" s="77">
        <v>13.098422467680473</v>
      </c>
    </row>
    <row r="1163">
      <c r="A1163" s="76">
        <v>99.0</v>
      </c>
      <c r="B1163" s="74" t="s">
        <v>73</v>
      </c>
      <c r="C1163" s="74" t="s">
        <v>74</v>
      </c>
      <c r="D1163" s="74" t="s">
        <v>11</v>
      </c>
      <c r="E1163" s="74" t="s">
        <v>91</v>
      </c>
      <c r="F1163" s="80">
        <v>0.4784224676804738</v>
      </c>
    </row>
    <row r="1164">
      <c r="A1164" s="76">
        <v>38.0</v>
      </c>
      <c r="B1164" s="74" t="s">
        <v>116</v>
      </c>
      <c r="C1164" s="74" t="s">
        <v>117</v>
      </c>
      <c r="D1164" s="74" t="s">
        <v>30</v>
      </c>
      <c r="E1164" s="74" t="s">
        <v>46</v>
      </c>
      <c r="F1164" s="77">
        <v>11.808422467680472</v>
      </c>
    </row>
    <row r="1165">
      <c r="A1165" s="76">
        <v>57.0</v>
      </c>
      <c r="B1165" s="74" t="s">
        <v>92</v>
      </c>
      <c r="C1165" s="74" t="s">
        <v>190</v>
      </c>
      <c r="D1165" s="74" t="s">
        <v>11</v>
      </c>
      <c r="E1165" s="74" t="s">
        <v>97</v>
      </c>
      <c r="F1165" s="80">
        <v>3.688422467680474</v>
      </c>
    </row>
    <row r="1166">
      <c r="A1166" s="76">
        <v>9.0</v>
      </c>
      <c r="B1166" s="74" t="s">
        <v>207</v>
      </c>
      <c r="C1166" s="74" t="s">
        <v>208</v>
      </c>
      <c r="D1166" s="74" t="s">
        <v>11</v>
      </c>
      <c r="E1166" s="74" t="s">
        <v>52</v>
      </c>
      <c r="F1166" s="77">
        <v>54.83842246768047</v>
      </c>
    </row>
    <row r="1167">
      <c r="A1167" s="76">
        <v>26.0</v>
      </c>
      <c r="B1167" s="74" t="s">
        <v>211</v>
      </c>
      <c r="C1167" s="74" t="s">
        <v>212</v>
      </c>
      <c r="D1167" s="74" t="s">
        <v>11</v>
      </c>
      <c r="E1167" s="74" t="s">
        <v>79</v>
      </c>
      <c r="F1167" s="80">
        <v>36.08842246768047</v>
      </c>
    </row>
    <row r="1168">
      <c r="A1168" s="76">
        <v>72.0</v>
      </c>
      <c r="B1168" s="74" t="s">
        <v>133</v>
      </c>
      <c r="C1168" s="74" t="s">
        <v>134</v>
      </c>
      <c r="D1168" s="74" t="s">
        <v>30</v>
      </c>
      <c r="E1168" s="74" t="s">
        <v>88</v>
      </c>
      <c r="F1168" s="77">
        <v>38.228422467680474</v>
      </c>
    </row>
    <row r="1169">
      <c r="A1169" s="76">
        <v>54.0</v>
      </c>
      <c r="B1169" s="74" t="s">
        <v>86</v>
      </c>
      <c r="C1169" s="74" t="s">
        <v>87</v>
      </c>
      <c r="D1169" s="74" t="s">
        <v>11</v>
      </c>
      <c r="E1169" s="74" t="s">
        <v>72</v>
      </c>
      <c r="F1169" s="80">
        <v>19.068422467680474</v>
      </c>
    </row>
    <row r="1170">
      <c r="A1170" s="76">
        <v>25.0</v>
      </c>
      <c r="B1170" s="74" t="s">
        <v>154</v>
      </c>
      <c r="C1170" s="74" t="s">
        <v>155</v>
      </c>
      <c r="D1170" s="74" t="s">
        <v>30</v>
      </c>
      <c r="E1170" s="74" t="s">
        <v>50</v>
      </c>
      <c r="F1170" s="77">
        <v>22.128422467680476</v>
      </c>
    </row>
    <row r="1171">
      <c r="A1171" s="76">
        <v>90.0</v>
      </c>
      <c r="B1171" s="74" t="s">
        <v>219</v>
      </c>
      <c r="C1171" s="74" t="s">
        <v>220</v>
      </c>
      <c r="D1171" s="74" t="s">
        <v>11</v>
      </c>
      <c r="E1171" s="74" t="s">
        <v>68</v>
      </c>
      <c r="F1171" s="80">
        <v>14.588422467680473</v>
      </c>
    </row>
    <row r="1172">
      <c r="A1172" s="76">
        <v>69.0</v>
      </c>
      <c r="B1172" s="74" t="s">
        <v>108</v>
      </c>
      <c r="C1172" s="74" t="s">
        <v>145</v>
      </c>
      <c r="D1172" s="74" t="s">
        <v>11</v>
      </c>
      <c r="E1172" s="74" t="s">
        <v>82</v>
      </c>
      <c r="F1172" s="77">
        <v>10.528422467680473</v>
      </c>
    </row>
    <row r="1173">
      <c r="A1173" s="76">
        <v>80.0</v>
      </c>
      <c r="B1173" s="74" t="s">
        <v>37</v>
      </c>
      <c r="C1173" s="74" t="s">
        <v>38</v>
      </c>
      <c r="D1173" s="74" t="s">
        <v>30</v>
      </c>
      <c r="E1173" s="74" t="s">
        <v>72</v>
      </c>
      <c r="F1173" s="80">
        <v>19.978422467680474</v>
      </c>
    </row>
    <row r="1174">
      <c r="A1174" s="76">
        <v>54.0</v>
      </c>
      <c r="B1174" s="74" t="s">
        <v>86</v>
      </c>
      <c r="C1174" s="74" t="s">
        <v>87</v>
      </c>
      <c r="D1174" s="74" t="s">
        <v>30</v>
      </c>
      <c r="E1174" s="74" t="s">
        <v>76</v>
      </c>
      <c r="F1174" s="77">
        <v>9.678422467680473</v>
      </c>
    </row>
    <row r="1175">
      <c r="A1175" s="76">
        <v>13.0</v>
      </c>
      <c r="B1175" s="74" t="s">
        <v>137</v>
      </c>
      <c r="C1175" s="74" t="s">
        <v>138</v>
      </c>
      <c r="D1175" s="74" t="s">
        <v>11</v>
      </c>
      <c r="E1175" s="74" t="s">
        <v>56</v>
      </c>
      <c r="F1175" s="80">
        <v>63.87842246768047</v>
      </c>
    </row>
    <row r="1176">
      <c r="A1176" s="76">
        <v>53.0</v>
      </c>
      <c r="B1176" s="74" t="s">
        <v>241</v>
      </c>
      <c r="C1176" s="74" t="s">
        <v>242</v>
      </c>
      <c r="D1176" s="74" t="s">
        <v>11</v>
      </c>
      <c r="E1176" s="74" t="s">
        <v>35</v>
      </c>
      <c r="F1176" s="77">
        <v>10.788422467680473</v>
      </c>
    </row>
    <row r="1177">
      <c r="A1177" s="76">
        <v>57.0</v>
      </c>
      <c r="B1177" s="74" t="s">
        <v>92</v>
      </c>
      <c r="C1177" s="74" t="s">
        <v>190</v>
      </c>
      <c r="D1177" s="74" t="s">
        <v>11</v>
      </c>
      <c r="E1177" s="74" t="s">
        <v>35</v>
      </c>
      <c r="F1177" s="80">
        <v>20.308422467680476</v>
      </c>
    </row>
    <row r="1178">
      <c r="A1178" s="76">
        <v>40.0</v>
      </c>
      <c r="B1178" s="74" t="s">
        <v>122</v>
      </c>
      <c r="C1178" s="74" t="s">
        <v>185</v>
      </c>
      <c r="D1178" s="74" t="s">
        <v>11</v>
      </c>
      <c r="E1178" s="74" t="s">
        <v>94</v>
      </c>
      <c r="F1178" s="77">
        <v>29.698422467680476</v>
      </c>
    </row>
    <row r="1179">
      <c r="A1179" s="76">
        <v>16.0</v>
      </c>
      <c r="B1179" s="74" t="s">
        <v>175</v>
      </c>
      <c r="C1179" s="74" t="s">
        <v>176</v>
      </c>
      <c r="D1179" s="74" t="s">
        <v>30</v>
      </c>
      <c r="E1179" s="74" t="s">
        <v>97</v>
      </c>
      <c r="F1179" s="80">
        <v>4.278422467680474</v>
      </c>
    </row>
    <row r="1180">
      <c r="A1180" s="76">
        <v>30.0</v>
      </c>
      <c r="B1180" s="74" t="s">
        <v>9</v>
      </c>
      <c r="C1180" s="74" t="s">
        <v>10</v>
      </c>
      <c r="D1180" s="74" t="s">
        <v>30</v>
      </c>
      <c r="E1180" s="74" t="s">
        <v>12</v>
      </c>
      <c r="F1180" s="77">
        <v>9.098422467680473</v>
      </c>
    </row>
    <row r="1181">
      <c r="A1181" s="76">
        <v>32.0</v>
      </c>
      <c r="B1181" s="74" t="s">
        <v>146</v>
      </c>
      <c r="C1181" s="74" t="s">
        <v>147</v>
      </c>
      <c r="D1181" s="74" t="s">
        <v>11</v>
      </c>
      <c r="E1181" s="74" t="s">
        <v>94</v>
      </c>
      <c r="F1181" s="80">
        <v>28.768422467680473</v>
      </c>
    </row>
    <row r="1182">
      <c r="A1182" s="76">
        <v>34.0</v>
      </c>
      <c r="B1182" s="74" t="s">
        <v>177</v>
      </c>
      <c r="C1182" s="74" t="s">
        <v>178</v>
      </c>
      <c r="D1182" s="74" t="s">
        <v>11</v>
      </c>
      <c r="E1182" s="74" t="s">
        <v>31</v>
      </c>
      <c r="F1182" s="77">
        <v>35.398422467680476</v>
      </c>
    </row>
    <row r="1183">
      <c r="A1183" s="76">
        <v>63.0</v>
      </c>
      <c r="B1183" s="74" t="s">
        <v>225</v>
      </c>
      <c r="C1183" s="74" t="s">
        <v>226</v>
      </c>
      <c r="D1183" s="74" t="s">
        <v>11</v>
      </c>
      <c r="E1183" s="74" t="s">
        <v>46</v>
      </c>
      <c r="F1183" s="80">
        <v>11.148422467680474</v>
      </c>
    </row>
    <row r="1184">
      <c r="A1184" s="76">
        <v>30.0</v>
      </c>
      <c r="B1184" s="74" t="s">
        <v>9</v>
      </c>
      <c r="C1184" s="74" t="s">
        <v>10</v>
      </c>
      <c r="D1184" s="74" t="s">
        <v>11</v>
      </c>
      <c r="E1184" s="74" t="s">
        <v>82</v>
      </c>
      <c r="F1184" s="77">
        <v>13.738422467680474</v>
      </c>
    </row>
    <row r="1185">
      <c r="A1185" s="76">
        <v>46.0</v>
      </c>
      <c r="B1185" s="74" t="s">
        <v>143</v>
      </c>
      <c r="C1185" s="74" t="s">
        <v>144</v>
      </c>
      <c r="D1185" s="74" t="s">
        <v>11</v>
      </c>
      <c r="E1185" s="74" t="s">
        <v>85</v>
      </c>
      <c r="F1185" s="80">
        <v>13.498422467680474</v>
      </c>
    </row>
    <row r="1186">
      <c r="A1186" s="76">
        <v>59.0</v>
      </c>
      <c r="B1186" s="74" t="s">
        <v>103</v>
      </c>
      <c r="C1186" s="74" t="s">
        <v>104</v>
      </c>
      <c r="D1186" s="74" t="s">
        <v>30</v>
      </c>
      <c r="E1186" s="74" t="s">
        <v>43</v>
      </c>
      <c r="F1186" s="77">
        <v>15.298422467680473</v>
      </c>
    </row>
    <row r="1187">
      <c r="A1187" s="76">
        <v>91.0</v>
      </c>
      <c r="B1187" s="74" t="s">
        <v>112</v>
      </c>
      <c r="C1187" s="74" t="s">
        <v>113</v>
      </c>
      <c r="D1187" s="74" t="s">
        <v>11</v>
      </c>
      <c r="E1187" s="74" t="s">
        <v>43</v>
      </c>
      <c r="F1187" s="80">
        <v>17.828422467680475</v>
      </c>
    </row>
    <row r="1188">
      <c r="A1188" s="76">
        <v>84.0</v>
      </c>
      <c r="B1188" s="74" t="s">
        <v>141</v>
      </c>
      <c r="C1188" s="74" t="s">
        <v>142</v>
      </c>
      <c r="D1188" s="74" t="s">
        <v>11</v>
      </c>
      <c r="E1188" s="74" t="s">
        <v>88</v>
      </c>
      <c r="F1188" s="77">
        <v>39.788422467680476</v>
      </c>
    </row>
    <row r="1189">
      <c r="A1189" s="76">
        <v>20.0</v>
      </c>
      <c r="B1189" s="74" t="s">
        <v>161</v>
      </c>
      <c r="C1189" s="74" t="s">
        <v>162</v>
      </c>
      <c r="D1189" s="74" t="s">
        <v>11</v>
      </c>
      <c r="E1189" s="74" t="s">
        <v>79</v>
      </c>
      <c r="F1189" s="80">
        <v>25.518422467680473</v>
      </c>
    </row>
    <row r="1190">
      <c r="A1190" s="76">
        <v>80.0</v>
      </c>
      <c r="B1190" s="74" t="s">
        <v>37</v>
      </c>
      <c r="C1190" s="74" t="s">
        <v>38</v>
      </c>
      <c r="D1190" s="74" t="s">
        <v>11</v>
      </c>
      <c r="E1190" s="74" t="s">
        <v>72</v>
      </c>
      <c r="F1190" s="77">
        <v>16.358422467680477</v>
      </c>
    </row>
    <row r="1191">
      <c r="A1191" s="76">
        <v>66.0</v>
      </c>
      <c r="B1191" s="74" t="s">
        <v>150</v>
      </c>
      <c r="C1191" s="74" t="s">
        <v>158</v>
      </c>
      <c r="D1191" s="74" t="s">
        <v>11</v>
      </c>
      <c r="E1191" s="74" t="s">
        <v>97</v>
      </c>
      <c r="F1191" s="80">
        <v>2.598422467680474</v>
      </c>
    </row>
    <row r="1192">
      <c r="A1192" s="76">
        <v>53.0</v>
      </c>
      <c r="B1192" s="74" t="s">
        <v>241</v>
      </c>
      <c r="C1192" s="74" t="s">
        <v>242</v>
      </c>
      <c r="D1192" s="74" t="s">
        <v>30</v>
      </c>
      <c r="E1192" s="74" t="s">
        <v>94</v>
      </c>
      <c r="F1192" s="77">
        <v>28.688422467680475</v>
      </c>
    </row>
    <row r="1193">
      <c r="A1193" s="76">
        <v>98.0</v>
      </c>
      <c r="B1193" s="74" t="s">
        <v>159</v>
      </c>
      <c r="C1193" s="74" t="s">
        <v>196</v>
      </c>
      <c r="D1193" s="74" t="s">
        <v>11</v>
      </c>
      <c r="E1193" s="74" t="s">
        <v>97</v>
      </c>
      <c r="F1193" s="80">
        <v>3.938422467680474</v>
      </c>
    </row>
    <row r="1194">
      <c r="A1194" s="76">
        <v>54.0</v>
      </c>
      <c r="B1194" s="74" t="s">
        <v>86</v>
      </c>
      <c r="C1194" s="74" t="s">
        <v>87</v>
      </c>
      <c r="D1194" s="74" t="s">
        <v>30</v>
      </c>
      <c r="E1194" s="74" t="s">
        <v>31</v>
      </c>
      <c r="F1194" s="77">
        <v>44.09842246768047</v>
      </c>
    </row>
    <row r="1195">
      <c r="A1195" s="76">
        <v>79.0</v>
      </c>
      <c r="B1195" s="74" t="s">
        <v>101</v>
      </c>
      <c r="C1195" s="74" t="s">
        <v>102</v>
      </c>
      <c r="D1195" s="74" t="s">
        <v>30</v>
      </c>
      <c r="E1195" s="74" t="s">
        <v>94</v>
      </c>
      <c r="F1195" s="80">
        <v>28.808422467680476</v>
      </c>
    </row>
    <row r="1196">
      <c r="A1196" s="76">
        <v>11.0</v>
      </c>
      <c r="B1196" s="74" t="s">
        <v>227</v>
      </c>
      <c r="C1196" s="74" t="s">
        <v>228</v>
      </c>
      <c r="D1196" s="74" t="s">
        <v>30</v>
      </c>
      <c r="E1196" s="74" t="s">
        <v>91</v>
      </c>
      <c r="F1196" s="77">
        <v>3.318422467680474</v>
      </c>
    </row>
    <row r="1197">
      <c r="A1197" s="76">
        <v>6.0</v>
      </c>
      <c r="B1197" s="74" t="s">
        <v>183</v>
      </c>
      <c r="C1197" s="74" t="s">
        <v>184</v>
      </c>
      <c r="D1197" s="74" t="s">
        <v>30</v>
      </c>
      <c r="E1197" s="74" t="s">
        <v>94</v>
      </c>
      <c r="F1197" s="80">
        <v>26.368422467680475</v>
      </c>
    </row>
    <row r="1198">
      <c r="A1198" s="76">
        <v>12.0</v>
      </c>
      <c r="B1198" s="74" t="s">
        <v>188</v>
      </c>
      <c r="C1198" s="74" t="s">
        <v>189</v>
      </c>
      <c r="D1198" s="74" t="s">
        <v>30</v>
      </c>
      <c r="E1198" s="74" t="s">
        <v>12</v>
      </c>
      <c r="F1198" s="77">
        <v>9.078422467680474</v>
      </c>
    </row>
    <row r="1199">
      <c r="A1199" s="76">
        <v>36.0</v>
      </c>
      <c r="B1199" s="74" t="s">
        <v>92</v>
      </c>
      <c r="C1199" s="74" t="s">
        <v>93</v>
      </c>
      <c r="D1199" s="74" t="s">
        <v>11</v>
      </c>
      <c r="E1199" s="74" t="s">
        <v>52</v>
      </c>
      <c r="F1199" s="80">
        <v>67.23842246768046</v>
      </c>
    </row>
    <row r="1200">
      <c r="A1200" s="76">
        <v>26.0</v>
      </c>
      <c r="B1200" s="74" t="s">
        <v>211</v>
      </c>
      <c r="C1200" s="74" t="s">
        <v>212</v>
      </c>
      <c r="D1200" s="74" t="s">
        <v>11</v>
      </c>
      <c r="E1200" s="74" t="s">
        <v>35</v>
      </c>
      <c r="F1200" s="77">
        <v>14.448422467680473</v>
      </c>
    </row>
    <row r="1201">
      <c r="A1201" s="76">
        <v>79.0</v>
      </c>
      <c r="B1201" s="74" t="s">
        <v>101</v>
      </c>
      <c r="C1201" s="74" t="s">
        <v>102</v>
      </c>
      <c r="D1201" s="74" t="s">
        <v>30</v>
      </c>
      <c r="E1201" s="74" t="s">
        <v>12</v>
      </c>
      <c r="F1201" s="80">
        <v>9.768422467680473</v>
      </c>
    </row>
    <row r="1202">
      <c r="A1202" s="76">
        <v>8.0</v>
      </c>
      <c r="B1202" s="74" t="s">
        <v>108</v>
      </c>
      <c r="C1202" s="74" t="s">
        <v>109</v>
      </c>
      <c r="D1202" s="74" t="s">
        <v>30</v>
      </c>
      <c r="E1202" s="74" t="s">
        <v>82</v>
      </c>
      <c r="F1202" s="77">
        <v>10.188422467680473</v>
      </c>
    </row>
    <row r="1203">
      <c r="A1203" s="76">
        <v>86.0</v>
      </c>
      <c r="B1203" s="74" t="s">
        <v>62</v>
      </c>
      <c r="C1203" s="74" t="s">
        <v>63</v>
      </c>
      <c r="D1203" s="74" t="s">
        <v>30</v>
      </c>
      <c r="E1203" s="74" t="s">
        <v>76</v>
      </c>
      <c r="F1203" s="80">
        <v>10.558422467680472</v>
      </c>
    </row>
    <row r="1204">
      <c r="A1204" s="76">
        <v>31.0</v>
      </c>
      <c r="B1204" s="74" t="s">
        <v>229</v>
      </c>
      <c r="C1204" s="74" t="s">
        <v>230</v>
      </c>
      <c r="D1204" s="74" t="s">
        <v>30</v>
      </c>
      <c r="E1204" s="74" t="s">
        <v>60</v>
      </c>
      <c r="F1204" s="77">
        <v>45.228422467680474</v>
      </c>
    </row>
    <row r="1205">
      <c r="A1205" s="76">
        <v>83.0</v>
      </c>
      <c r="B1205" s="74" t="s">
        <v>98</v>
      </c>
      <c r="C1205" s="74" t="s">
        <v>99</v>
      </c>
      <c r="D1205" s="74" t="s">
        <v>30</v>
      </c>
      <c r="E1205" s="74" t="s">
        <v>94</v>
      </c>
      <c r="F1205" s="80">
        <v>30.968422467680476</v>
      </c>
    </row>
    <row r="1206">
      <c r="A1206" s="76">
        <v>32.0</v>
      </c>
      <c r="B1206" s="74" t="s">
        <v>146</v>
      </c>
      <c r="C1206" s="74" t="s">
        <v>147</v>
      </c>
      <c r="D1206" s="74" t="s">
        <v>11</v>
      </c>
      <c r="E1206" s="74" t="s">
        <v>50</v>
      </c>
      <c r="F1206" s="77">
        <v>20.798422467680474</v>
      </c>
    </row>
    <row r="1207">
      <c r="A1207" s="76">
        <v>46.0</v>
      </c>
      <c r="B1207" s="74" t="s">
        <v>143</v>
      </c>
      <c r="C1207" s="74" t="s">
        <v>144</v>
      </c>
      <c r="D1207" s="74" t="s">
        <v>30</v>
      </c>
      <c r="E1207" s="74" t="s">
        <v>68</v>
      </c>
      <c r="F1207" s="80">
        <v>13.988422467680474</v>
      </c>
    </row>
    <row r="1208">
      <c r="A1208" s="76">
        <v>52.0</v>
      </c>
      <c r="B1208" s="74" t="s">
        <v>181</v>
      </c>
      <c r="C1208" s="74" t="s">
        <v>182</v>
      </c>
      <c r="D1208" s="74" t="s">
        <v>11</v>
      </c>
      <c r="E1208" s="74" t="s">
        <v>50</v>
      </c>
      <c r="F1208" s="77">
        <v>30.078422467680475</v>
      </c>
    </row>
    <row r="1209">
      <c r="A1209" s="76">
        <v>50.0</v>
      </c>
      <c r="B1209" s="74" t="s">
        <v>33</v>
      </c>
      <c r="C1209" s="74" t="s">
        <v>34</v>
      </c>
      <c r="D1209" s="74" t="s">
        <v>11</v>
      </c>
      <c r="E1209" s="74" t="s">
        <v>46</v>
      </c>
      <c r="F1209" s="80">
        <v>12.958422467680473</v>
      </c>
    </row>
    <row r="1210">
      <c r="A1210" s="76">
        <v>16.0</v>
      </c>
      <c r="B1210" s="74" t="s">
        <v>175</v>
      </c>
      <c r="C1210" s="74" t="s">
        <v>176</v>
      </c>
      <c r="D1210" s="74" t="s">
        <v>30</v>
      </c>
      <c r="E1210" s="74" t="s">
        <v>88</v>
      </c>
      <c r="F1210" s="77">
        <v>41.118422467680475</v>
      </c>
    </row>
    <row r="1211">
      <c r="A1211" s="76">
        <v>3.0</v>
      </c>
      <c r="B1211" s="74" t="s">
        <v>80</v>
      </c>
      <c r="C1211" s="74" t="s">
        <v>81</v>
      </c>
      <c r="D1211" s="74" t="s">
        <v>30</v>
      </c>
      <c r="E1211" s="74" t="s">
        <v>52</v>
      </c>
      <c r="F1211" s="80">
        <v>57.438422467680475</v>
      </c>
    </row>
    <row r="1212">
      <c r="A1212" s="76">
        <v>31.0</v>
      </c>
      <c r="B1212" s="74" t="s">
        <v>229</v>
      </c>
      <c r="C1212" s="74" t="s">
        <v>230</v>
      </c>
      <c r="D1212" s="74" t="s">
        <v>30</v>
      </c>
      <c r="E1212" s="74" t="s">
        <v>91</v>
      </c>
      <c r="F1212" s="77">
        <v>2.1284224676804735</v>
      </c>
    </row>
    <row r="1213">
      <c r="A1213" s="76">
        <v>35.0</v>
      </c>
      <c r="B1213" s="74" t="s">
        <v>125</v>
      </c>
      <c r="C1213" s="74" t="s">
        <v>126</v>
      </c>
      <c r="D1213" s="74" t="s">
        <v>11</v>
      </c>
      <c r="E1213" s="74" t="s">
        <v>35</v>
      </c>
      <c r="F1213" s="80">
        <v>12.168422467680474</v>
      </c>
    </row>
    <row r="1214">
      <c r="A1214" s="76">
        <v>36.0</v>
      </c>
      <c r="B1214" s="74" t="s">
        <v>92</v>
      </c>
      <c r="C1214" s="74" t="s">
        <v>93</v>
      </c>
      <c r="D1214" s="74" t="s">
        <v>11</v>
      </c>
      <c r="E1214" s="74" t="s">
        <v>52</v>
      </c>
      <c r="F1214" s="77">
        <v>46.81842246768048</v>
      </c>
    </row>
    <row r="1215">
      <c r="A1215" s="76">
        <v>61.0</v>
      </c>
      <c r="B1215" s="74" t="s">
        <v>106</v>
      </c>
      <c r="C1215" s="74" t="s">
        <v>107</v>
      </c>
      <c r="D1215" s="74" t="s">
        <v>30</v>
      </c>
      <c r="E1215" s="74" t="s">
        <v>82</v>
      </c>
      <c r="F1215" s="80">
        <v>9.498422467680474</v>
      </c>
    </row>
    <row r="1216">
      <c r="A1216" s="76">
        <v>79.0</v>
      </c>
      <c r="B1216" s="74" t="s">
        <v>101</v>
      </c>
      <c r="C1216" s="74" t="s">
        <v>102</v>
      </c>
      <c r="D1216" s="74" t="s">
        <v>30</v>
      </c>
      <c r="E1216" s="74" t="s">
        <v>85</v>
      </c>
      <c r="F1216" s="77">
        <v>15.708422467680473</v>
      </c>
    </row>
    <row r="1217">
      <c r="A1217" s="76">
        <v>9.0</v>
      </c>
      <c r="B1217" s="74" t="s">
        <v>207</v>
      </c>
      <c r="C1217" s="74" t="s">
        <v>208</v>
      </c>
      <c r="D1217" s="74" t="s">
        <v>30</v>
      </c>
      <c r="E1217" s="74" t="s">
        <v>85</v>
      </c>
      <c r="F1217" s="80">
        <v>15.498422467680472</v>
      </c>
    </row>
    <row r="1218">
      <c r="A1218" s="76">
        <v>12.0</v>
      </c>
      <c r="B1218" s="74" t="s">
        <v>188</v>
      </c>
      <c r="C1218" s="74" t="s">
        <v>189</v>
      </c>
      <c r="D1218" s="74" t="s">
        <v>11</v>
      </c>
      <c r="E1218" s="74" t="s">
        <v>79</v>
      </c>
      <c r="F1218" s="77">
        <v>33.30842246768047</v>
      </c>
    </row>
    <row r="1219">
      <c r="A1219" s="76">
        <v>49.0</v>
      </c>
      <c r="B1219" s="74" t="s">
        <v>179</v>
      </c>
      <c r="C1219" s="74" t="s">
        <v>180</v>
      </c>
      <c r="D1219" s="74" t="s">
        <v>30</v>
      </c>
      <c r="E1219" s="74" t="s">
        <v>94</v>
      </c>
      <c r="F1219" s="80">
        <v>25.408422467680474</v>
      </c>
    </row>
    <row r="1220">
      <c r="A1220" s="76">
        <v>83.0</v>
      </c>
      <c r="B1220" s="74" t="s">
        <v>98</v>
      </c>
      <c r="C1220" s="74" t="s">
        <v>99</v>
      </c>
      <c r="D1220" s="74" t="s">
        <v>30</v>
      </c>
      <c r="E1220" s="74" t="s">
        <v>60</v>
      </c>
      <c r="F1220" s="77">
        <v>45.91842246768047</v>
      </c>
    </row>
    <row r="1221">
      <c r="A1221" s="76">
        <v>51.0</v>
      </c>
      <c r="B1221" s="74" t="s">
        <v>233</v>
      </c>
      <c r="C1221" s="74" t="s">
        <v>234</v>
      </c>
      <c r="D1221" s="74" t="s">
        <v>11</v>
      </c>
      <c r="E1221" s="74" t="s">
        <v>68</v>
      </c>
      <c r="F1221" s="80">
        <v>16.228422467680474</v>
      </c>
    </row>
    <row r="1222">
      <c r="A1222" s="76">
        <v>10.0</v>
      </c>
      <c r="B1222" s="74" t="s">
        <v>148</v>
      </c>
      <c r="C1222" s="74" t="s">
        <v>149</v>
      </c>
      <c r="D1222" s="74" t="s">
        <v>30</v>
      </c>
      <c r="E1222" s="74" t="s">
        <v>56</v>
      </c>
      <c r="F1222" s="77">
        <v>62.118422467680475</v>
      </c>
    </row>
    <row r="1223">
      <c r="A1223" s="76">
        <v>85.0</v>
      </c>
      <c r="B1223" s="74" t="s">
        <v>198</v>
      </c>
      <c r="C1223" s="74" t="s">
        <v>199</v>
      </c>
      <c r="D1223" s="74" t="s">
        <v>30</v>
      </c>
      <c r="E1223" s="74" t="s">
        <v>50</v>
      </c>
      <c r="F1223" s="80">
        <v>31.328422467680475</v>
      </c>
    </row>
    <row r="1224">
      <c r="A1224" s="76">
        <v>79.0</v>
      </c>
      <c r="B1224" s="74" t="s">
        <v>101</v>
      </c>
      <c r="C1224" s="74" t="s">
        <v>102</v>
      </c>
      <c r="D1224" s="74" t="s">
        <v>11</v>
      </c>
      <c r="E1224" s="74" t="s">
        <v>35</v>
      </c>
      <c r="F1224" s="77">
        <v>16.628422467680476</v>
      </c>
    </row>
    <row r="1225">
      <c r="A1225" s="76">
        <v>62.0</v>
      </c>
      <c r="B1225" s="74" t="s">
        <v>156</v>
      </c>
      <c r="C1225" s="74" t="s">
        <v>157</v>
      </c>
      <c r="D1225" s="74" t="s">
        <v>30</v>
      </c>
      <c r="E1225" s="74" t="s">
        <v>68</v>
      </c>
      <c r="F1225" s="80">
        <v>18.108422467680477</v>
      </c>
    </row>
    <row r="1226">
      <c r="A1226" s="76">
        <v>6.0</v>
      </c>
      <c r="B1226" s="74" t="s">
        <v>183</v>
      </c>
      <c r="C1226" s="74" t="s">
        <v>184</v>
      </c>
      <c r="D1226" s="74" t="s">
        <v>11</v>
      </c>
      <c r="E1226" s="74" t="s">
        <v>56</v>
      </c>
      <c r="F1226" s="77">
        <v>71.30842246768047</v>
      </c>
    </row>
    <row r="1227">
      <c r="A1227" s="76">
        <v>53.0</v>
      </c>
      <c r="B1227" s="74" t="s">
        <v>241</v>
      </c>
      <c r="C1227" s="74" t="s">
        <v>242</v>
      </c>
      <c r="D1227" s="74" t="s">
        <v>30</v>
      </c>
      <c r="E1227" s="74" t="s">
        <v>52</v>
      </c>
      <c r="F1227" s="80">
        <v>63.33842246768048</v>
      </c>
    </row>
    <row r="1228">
      <c r="A1228" s="76">
        <v>58.0</v>
      </c>
      <c r="B1228" s="74" t="s">
        <v>165</v>
      </c>
      <c r="C1228" s="74" t="s">
        <v>166</v>
      </c>
      <c r="D1228" s="74" t="s">
        <v>30</v>
      </c>
      <c r="E1228" s="74" t="s">
        <v>39</v>
      </c>
      <c r="F1228" s="77">
        <v>26.808422467680476</v>
      </c>
    </row>
    <row r="1229">
      <c r="A1229" s="76">
        <v>32.0</v>
      </c>
      <c r="B1229" s="74" t="s">
        <v>146</v>
      </c>
      <c r="C1229" s="74" t="s">
        <v>147</v>
      </c>
      <c r="D1229" s="74" t="s">
        <v>11</v>
      </c>
      <c r="E1229" s="74" t="s">
        <v>35</v>
      </c>
      <c r="F1229" s="80">
        <v>14.818422467680474</v>
      </c>
    </row>
    <row r="1230">
      <c r="A1230" s="76">
        <v>17.0</v>
      </c>
      <c r="B1230" s="74" t="s">
        <v>200</v>
      </c>
      <c r="C1230" s="74" t="s">
        <v>201</v>
      </c>
      <c r="D1230" s="74" t="s">
        <v>30</v>
      </c>
      <c r="E1230" s="74" t="s">
        <v>94</v>
      </c>
      <c r="F1230" s="77">
        <v>28.728422467680474</v>
      </c>
    </row>
    <row r="1231">
      <c r="A1231" s="76">
        <v>77.0</v>
      </c>
      <c r="B1231" s="74" t="s">
        <v>9</v>
      </c>
      <c r="C1231" s="74" t="s">
        <v>169</v>
      </c>
      <c r="D1231" s="74" t="s">
        <v>30</v>
      </c>
      <c r="E1231" s="74" t="s">
        <v>72</v>
      </c>
      <c r="F1231" s="80">
        <v>18.668422467680475</v>
      </c>
    </row>
    <row r="1232">
      <c r="A1232" s="76">
        <v>40.0</v>
      </c>
      <c r="B1232" s="74" t="s">
        <v>122</v>
      </c>
      <c r="C1232" s="74" t="s">
        <v>185</v>
      </c>
      <c r="D1232" s="74" t="s">
        <v>11</v>
      </c>
      <c r="E1232" s="74" t="s">
        <v>97</v>
      </c>
      <c r="F1232" s="77">
        <v>2.5484224676804734</v>
      </c>
    </row>
    <row r="1233">
      <c r="A1233" s="76">
        <v>27.0</v>
      </c>
      <c r="B1233" s="74" t="s">
        <v>173</v>
      </c>
      <c r="C1233" s="74" t="s">
        <v>174</v>
      </c>
      <c r="D1233" s="74" t="s">
        <v>11</v>
      </c>
      <c r="E1233" s="74" t="s">
        <v>82</v>
      </c>
      <c r="F1233" s="80">
        <v>11.008422467680473</v>
      </c>
    </row>
    <row r="1234">
      <c r="A1234" s="76">
        <v>28.0</v>
      </c>
      <c r="B1234" s="74" t="s">
        <v>77</v>
      </c>
      <c r="C1234" s="74" t="s">
        <v>78</v>
      </c>
      <c r="D1234" s="74" t="s">
        <v>30</v>
      </c>
      <c r="E1234" s="74" t="s">
        <v>82</v>
      </c>
      <c r="F1234" s="77">
        <v>11.228422467680472</v>
      </c>
    </row>
    <row r="1235">
      <c r="A1235" s="76">
        <v>82.0</v>
      </c>
      <c r="B1235" s="74" t="s">
        <v>231</v>
      </c>
      <c r="C1235" s="74" t="s">
        <v>232</v>
      </c>
      <c r="D1235" s="74" t="s">
        <v>11</v>
      </c>
      <c r="E1235" s="74" t="s">
        <v>56</v>
      </c>
      <c r="F1235" s="80">
        <v>58.438422467680475</v>
      </c>
    </row>
    <row r="1236">
      <c r="A1236" s="76">
        <v>64.0</v>
      </c>
      <c r="B1236" s="74" t="s">
        <v>159</v>
      </c>
      <c r="C1236" s="74" t="s">
        <v>160</v>
      </c>
      <c r="D1236" s="74" t="s">
        <v>11</v>
      </c>
      <c r="E1236" s="74" t="s">
        <v>97</v>
      </c>
      <c r="F1236" s="77">
        <v>1.1084224676804737</v>
      </c>
    </row>
    <row r="1237">
      <c r="A1237" s="76">
        <v>1.0</v>
      </c>
      <c r="B1237" s="74" t="s">
        <v>194</v>
      </c>
      <c r="C1237" s="74" t="s">
        <v>195</v>
      </c>
      <c r="D1237" s="74" t="s">
        <v>11</v>
      </c>
      <c r="E1237" s="74" t="s">
        <v>85</v>
      </c>
      <c r="F1237" s="80">
        <v>12.418422467680474</v>
      </c>
    </row>
    <row r="1238">
      <c r="A1238" s="76">
        <v>39.0</v>
      </c>
      <c r="B1238" s="74" t="s">
        <v>89</v>
      </c>
      <c r="C1238" s="74" t="s">
        <v>90</v>
      </c>
      <c r="D1238" s="74" t="s">
        <v>30</v>
      </c>
      <c r="E1238" s="74" t="s">
        <v>94</v>
      </c>
      <c r="F1238" s="77">
        <v>28.358422467680477</v>
      </c>
    </row>
    <row r="1239">
      <c r="A1239" s="76">
        <v>37.0</v>
      </c>
      <c r="B1239" s="74" t="s">
        <v>245</v>
      </c>
      <c r="C1239" s="74" t="s">
        <v>246</v>
      </c>
      <c r="D1239" s="74" t="s">
        <v>11</v>
      </c>
      <c r="E1239" s="74" t="s">
        <v>31</v>
      </c>
      <c r="F1239" s="80">
        <v>49.60842246768048</v>
      </c>
    </row>
    <row r="1240">
      <c r="A1240" s="76">
        <v>13.0</v>
      </c>
      <c r="B1240" s="74" t="s">
        <v>137</v>
      </c>
      <c r="C1240" s="74" t="s">
        <v>138</v>
      </c>
      <c r="D1240" s="74" t="s">
        <v>30</v>
      </c>
      <c r="E1240" s="74" t="s">
        <v>35</v>
      </c>
      <c r="F1240" s="77">
        <v>20.778422467680475</v>
      </c>
    </row>
    <row r="1241">
      <c r="A1241" s="76">
        <v>90.0</v>
      </c>
      <c r="B1241" s="74" t="s">
        <v>219</v>
      </c>
      <c r="C1241" s="74" t="s">
        <v>220</v>
      </c>
      <c r="D1241" s="74" t="s">
        <v>30</v>
      </c>
      <c r="E1241" s="74" t="s">
        <v>79</v>
      </c>
      <c r="F1241" s="80">
        <v>28.448422467680476</v>
      </c>
    </row>
    <row r="1242">
      <c r="A1242" s="76">
        <v>60.0</v>
      </c>
      <c r="B1242" s="74" t="s">
        <v>65</v>
      </c>
      <c r="C1242" s="74" t="s">
        <v>66</v>
      </c>
      <c r="D1242" s="74" t="s">
        <v>30</v>
      </c>
      <c r="E1242" s="74" t="s">
        <v>91</v>
      </c>
      <c r="F1242" s="77">
        <v>2.9184224676804735</v>
      </c>
    </row>
    <row r="1243">
      <c r="A1243" s="76">
        <v>58.0</v>
      </c>
      <c r="B1243" s="74" t="s">
        <v>165</v>
      </c>
      <c r="C1243" s="74" t="s">
        <v>166</v>
      </c>
      <c r="D1243" s="74" t="s">
        <v>30</v>
      </c>
      <c r="E1243" s="74" t="s">
        <v>56</v>
      </c>
      <c r="F1243" s="80">
        <v>58.758422467680475</v>
      </c>
    </row>
    <row r="1244">
      <c r="A1244" s="76">
        <v>53.0</v>
      </c>
      <c r="B1244" s="74" t="s">
        <v>241</v>
      </c>
      <c r="C1244" s="74" t="s">
        <v>242</v>
      </c>
      <c r="D1244" s="74" t="s">
        <v>11</v>
      </c>
      <c r="E1244" s="74" t="s">
        <v>97</v>
      </c>
      <c r="F1244" s="77">
        <v>2.9984224676804736</v>
      </c>
    </row>
    <row r="1245">
      <c r="A1245" s="76">
        <v>40.0</v>
      </c>
      <c r="B1245" s="74" t="s">
        <v>122</v>
      </c>
      <c r="C1245" s="74" t="s">
        <v>185</v>
      </c>
      <c r="D1245" s="74" t="s">
        <v>11</v>
      </c>
      <c r="E1245" s="74" t="s">
        <v>72</v>
      </c>
      <c r="F1245" s="80">
        <v>20.688422467680475</v>
      </c>
    </row>
    <row r="1246">
      <c r="A1246" s="76">
        <v>70.0</v>
      </c>
      <c r="B1246" s="74" t="s">
        <v>152</v>
      </c>
      <c r="C1246" s="74" t="s">
        <v>153</v>
      </c>
      <c r="D1246" s="74" t="s">
        <v>11</v>
      </c>
      <c r="E1246" s="74" t="s">
        <v>72</v>
      </c>
      <c r="F1246" s="77">
        <v>18.778422467680475</v>
      </c>
    </row>
    <row r="1247">
      <c r="A1247" s="76">
        <v>19.0</v>
      </c>
      <c r="B1247" s="74" t="s">
        <v>41</v>
      </c>
      <c r="C1247" s="74" t="s">
        <v>193</v>
      </c>
      <c r="D1247" s="74" t="s">
        <v>30</v>
      </c>
      <c r="E1247" s="74" t="s">
        <v>68</v>
      </c>
      <c r="F1247" s="80">
        <v>18.468422467680476</v>
      </c>
    </row>
    <row r="1248">
      <c r="A1248" s="76">
        <v>10.0</v>
      </c>
      <c r="B1248" s="74" t="s">
        <v>148</v>
      </c>
      <c r="C1248" s="74" t="s">
        <v>149</v>
      </c>
      <c r="D1248" s="74" t="s">
        <v>30</v>
      </c>
      <c r="E1248" s="74" t="s">
        <v>85</v>
      </c>
      <c r="F1248" s="77">
        <v>13.378422467680473</v>
      </c>
    </row>
    <row r="1249">
      <c r="A1249" s="76">
        <v>86.0</v>
      </c>
      <c r="B1249" s="74" t="s">
        <v>62</v>
      </c>
      <c r="C1249" s="74" t="s">
        <v>63</v>
      </c>
      <c r="D1249" s="74" t="s">
        <v>30</v>
      </c>
      <c r="E1249" s="74" t="s">
        <v>43</v>
      </c>
      <c r="F1249" s="80">
        <v>17.608422467680477</v>
      </c>
    </row>
    <row r="1250">
      <c r="A1250" s="76">
        <v>85.0</v>
      </c>
      <c r="B1250" s="74" t="s">
        <v>198</v>
      </c>
      <c r="C1250" s="74" t="s">
        <v>199</v>
      </c>
      <c r="D1250" s="74" t="s">
        <v>30</v>
      </c>
      <c r="E1250" s="74" t="s">
        <v>79</v>
      </c>
      <c r="F1250" s="77">
        <v>31.928422467680477</v>
      </c>
    </row>
    <row r="1251">
      <c r="A1251" s="76">
        <v>15.0</v>
      </c>
      <c r="B1251" s="74" t="s">
        <v>58</v>
      </c>
      <c r="C1251" s="74" t="s">
        <v>59</v>
      </c>
      <c r="D1251" s="74" t="s">
        <v>30</v>
      </c>
      <c r="E1251" s="74" t="s">
        <v>97</v>
      </c>
      <c r="F1251" s="80">
        <v>2.1584224676804737</v>
      </c>
    </row>
    <row r="1252">
      <c r="A1252" s="76">
        <v>23.0</v>
      </c>
      <c r="B1252" s="74" t="s">
        <v>235</v>
      </c>
      <c r="C1252" s="74" t="s">
        <v>236</v>
      </c>
      <c r="D1252" s="74" t="s">
        <v>30</v>
      </c>
      <c r="E1252" s="74" t="s">
        <v>88</v>
      </c>
      <c r="F1252" s="77">
        <v>38.798422467680474</v>
      </c>
    </row>
    <row r="1253">
      <c r="A1253" s="76">
        <v>23.0</v>
      </c>
      <c r="B1253" s="74" t="s">
        <v>235</v>
      </c>
      <c r="C1253" s="74" t="s">
        <v>236</v>
      </c>
      <c r="D1253" s="74" t="s">
        <v>30</v>
      </c>
      <c r="E1253" s="74" t="s">
        <v>60</v>
      </c>
      <c r="F1253" s="80">
        <v>47.17842246768048</v>
      </c>
    </row>
    <row r="1254">
      <c r="A1254" s="76">
        <v>19.0</v>
      </c>
      <c r="B1254" s="74" t="s">
        <v>41</v>
      </c>
      <c r="C1254" s="74" t="s">
        <v>193</v>
      </c>
      <c r="D1254" s="74" t="s">
        <v>30</v>
      </c>
      <c r="E1254" s="74" t="s">
        <v>43</v>
      </c>
      <c r="F1254" s="77">
        <v>13.728422467680472</v>
      </c>
    </row>
    <row r="1255">
      <c r="A1255" s="76">
        <v>14.0</v>
      </c>
      <c r="B1255" s="74" t="s">
        <v>171</v>
      </c>
      <c r="C1255" s="74" t="s">
        <v>172</v>
      </c>
      <c r="D1255" s="74" t="s">
        <v>11</v>
      </c>
      <c r="E1255" s="74" t="s">
        <v>94</v>
      </c>
      <c r="F1255" s="80">
        <v>24.458422467680474</v>
      </c>
    </row>
    <row r="1256">
      <c r="A1256" s="76">
        <v>71.0</v>
      </c>
      <c r="B1256" s="74" t="s">
        <v>150</v>
      </c>
      <c r="C1256" s="74" t="s">
        <v>151</v>
      </c>
      <c r="D1256" s="74" t="s">
        <v>30</v>
      </c>
      <c r="E1256" s="74" t="s">
        <v>94</v>
      </c>
      <c r="F1256" s="77">
        <v>26.308422467680476</v>
      </c>
    </row>
    <row r="1257">
      <c r="A1257" s="76">
        <v>4.0</v>
      </c>
      <c r="B1257" s="74" t="s">
        <v>118</v>
      </c>
      <c r="C1257" s="74" t="s">
        <v>119</v>
      </c>
      <c r="D1257" s="74" t="s">
        <v>30</v>
      </c>
      <c r="E1257" s="74" t="s">
        <v>46</v>
      </c>
      <c r="F1257" s="80">
        <v>12.778422467680473</v>
      </c>
    </row>
    <row r="1258">
      <c r="A1258" s="76">
        <v>6.0</v>
      </c>
      <c r="B1258" s="74" t="s">
        <v>183</v>
      </c>
      <c r="C1258" s="74" t="s">
        <v>184</v>
      </c>
      <c r="D1258" s="74" t="s">
        <v>11</v>
      </c>
      <c r="E1258" s="74" t="s">
        <v>50</v>
      </c>
      <c r="F1258" s="77">
        <v>25.708422467680474</v>
      </c>
    </row>
    <row r="1259">
      <c r="A1259" s="76">
        <v>24.0</v>
      </c>
      <c r="B1259" s="74" t="s">
        <v>139</v>
      </c>
      <c r="C1259" s="74" t="s">
        <v>140</v>
      </c>
      <c r="D1259" s="74" t="s">
        <v>30</v>
      </c>
      <c r="E1259" s="74" t="s">
        <v>68</v>
      </c>
      <c r="F1259" s="80">
        <v>10.048422467680473</v>
      </c>
    </row>
    <row r="1260">
      <c r="A1260" s="76">
        <v>63.0</v>
      </c>
      <c r="B1260" s="74" t="s">
        <v>225</v>
      </c>
      <c r="C1260" s="74" t="s">
        <v>226</v>
      </c>
      <c r="D1260" s="74" t="s">
        <v>11</v>
      </c>
      <c r="E1260" s="74" t="s">
        <v>46</v>
      </c>
      <c r="F1260" s="77">
        <v>11.838422467680473</v>
      </c>
    </row>
    <row r="1261">
      <c r="A1261" s="76">
        <v>3.0</v>
      </c>
      <c r="B1261" s="74" t="s">
        <v>80</v>
      </c>
      <c r="C1261" s="74" t="s">
        <v>81</v>
      </c>
      <c r="D1261" s="74" t="s">
        <v>30</v>
      </c>
      <c r="E1261" s="74" t="s">
        <v>50</v>
      </c>
      <c r="F1261" s="80">
        <v>27.248422467680474</v>
      </c>
    </row>
    <row r="1262">
      <c r="A1262" s="76">
        <v>25.0</v>
      </c>
      <c r="B1262" s="74" t="s">
        <v>154</v>
      </c>
      <c r="C1262" s="74" t="s">
        <v>155</v>
      </c>
      <c r="D1262" s="74" t="s">
        <v>11</v>
      </c>
      <c r="E1262" s="74" t="s">
        <v>50</v>
      </c>
      <c r="F1262" s="77">
        <v>26.758422467680475</v>
      </c>
    </row>
    <row r="1263">
      <c r="A1263" s="76">
        <v>13.0</v>
      </c>
      <c r="B1263" s="74" t="s">
        <v>137</v>
      </c>
      <c r="C1263" s="74" t="s">
        <v>138</v>
      </c>
      <c r="D1263" s="74" t="s">
        <v>11</v>
      </c>
      <c r="E1263" s="74" t="s">
        <v>60</v>
      </c>
      <c r="F1263" s="80">
        <v>33.48842246768047</v>
      </c>
    </row>
    <row r="1264">
      <c r="A1264" s="76">
        <v>49.0</v>
      </c>
      <c r="B1264" s="74" t="s">
        <v>179</v>
      </c>
      <c r="C1264" s="74" t="s">
        <v>180</v>
      </c>
      <c r="D1264" s="74" t="s">
        <v>30</v>
      </c>
      <c r="E1264" s="74" t="s">
        <v>50</v>
      </c>
      <c r="F1264" s="77">
        <v>31.578422467680475</v>
      </c>
    </row>
    <row r="1265">
      <c r="A1265" s="76">
        <v>52.0</v>
      </c>
      <c r="B1265" s="74" t="s">
        <v>181</v>
      </c>
      <c r="C1265" s="74" t="s">
        <v>182</v>
      </c>
      <c r="D1265" s="74" t="s">
        <v>30</v>
      </c>
      <c r="E1265" s="74" t="s">
        <v>94</v>
      </c>
      <c r="F1265" s="80">
        <v>31.218422467680476</v>
      </c>
    </row>
    <row r="1266">
      <c r="A1266" s="76">
        <v>90.0</v>
      </c>
      <c r="B1266" s="74" t="s">
        <v>219</v>
      </c>
      <c r="C1266" s="74" t="s">
        <v>220</v>
      </c>
      <c r="D1266" s="74" t="s">
        <v>30</v>
      </c>
      <c r="E1266" s="74" t="s">
        <v>88</v>
      </c>
      <c r="F1266" s="77">
        <v>40.258422467680475</v>
      </c>
    </row>
    <row r="1267">
      <c r="A1267" s="76">
        <v>52.0</v>
      </c>
      <c r="B1267" s="74" t="s">
        <v>181</v>
      </c>
      <c r="C1267" s="74" t="s">
        <v>182</v>
      </c>
      <c r="D1267" s="74" t="s">
        <v>30</v>
      </c>
      <c r="E1267" s="74" t="s">
        <v>56</v>
      </c>
      <c r="F1267" s="80">
        <v>73.61842246768047</v>
      </c>
    </row>
    <row r="1268">
      <c r="A1268" s="76">
        <v>23.0</v>
      </c>
      <c r="B1268" s="74" t="s">
        <v>235</v>
      </c>
      <c r="C1268" s="74" t="s">
        <v>236</v>
      </c>
      <c r="D1268" s="74" t="s">
        <v>30</v>
      </c>
      <c r="E1268" s="74" t="s">
        <v>12</v>
      </c>
      <c r="F1268" s="77">
        <v>9.398422467680474</v>
      </c>
    </row>
    <row r="1269">
      <c r="A1269" s="76">
        <v>85.0</v>
      </c>
      <c r="B1269" s="74" t="s">
        <v>198</v>
      </c>
      <c r="C1269" s="74" t="s">
        <v>199</v>
      </c>
      <c r="D1269" s="74" t="s">
        <v>11</v>
      </c>
      <c r="E1269" s="74" t="s">
        <v>43</v>
      </c>
      <c r="F1269" s="80">
        <v>12.598422467680473</v>
      </c>
    </row>
    <row r="1270">
      <c r="A1270" s="76">
        <v>16.0</v>
      </c>
      <c r="B1270" s="74" t="s">
        <v>175</v>
      </c>
      <c r="C1270" s="74" t="s">
        <v>176</v>
      </c>
      <c r="D1270" s="74" t="s">
        <v>30</v>
      </c>
      <c r="E1270" s="74" t="s">
        <v>52</v>
      </c>
      <c r="F1270" s="77">
        <v>61.188422467680475</v>
      </c>
    </row>
    <row r="1271">
      <c r="A1271" s="76">
        <v>28.0</v>
      </c>
      <c r="B1271" s="74" t="s">
        <v>77</v>
      </c>
      <c r="C1271" s="74" t="s">
        <v>78</v>
      </c>
      <c r="D1271" s="74" t="s">
        <v>30</v>
      </c>
      <c r="E1271" s="74" t="s">
        <v>97</v>
      </c>
      <c r="F1271" s="80">
        <v>1.5484224676804736</v>
      </c>
    </row>
    <row r="1272">
      <c r="A1272" s="76">
        <v>2.0</v>
      </c>
      <c r="B1272" s="74" t="s">
        <v>83</v>
      </c>
      <c r="C1272" s="74" t="s">
        <v>84</v>
      </c>
      <c r="D1272" s="74" t="s">
        <v>30</v>
      </c>
      <c r="E1272" s="74" t="s">
        <v>52</v>
      </c>
      <c r="F1272" s="77">
        <v>46.548422467680474</v>
      </c>
    </row>
    <row r="1273">
      <c r="A1273" s="76">
        <v>72.0</v>
      </c>
      <c r="B1273" s="74" t="s">
        <v>133</v>
      </c>
      <c r="C1273" s="74" t="s">
        <v>134</v>
      </c>
      <c r="D1273" s="74" t="s">
        <v>30</v>
      </c>
      <c r="E1273" s="74" t="s">
        <v>60</v>
      </c>
      <c r="F1273" s="80">
        <v>38.59842246768047</v>
      </c>
    </row>
    <row r="1274">
      <c r="A1274" s="76">
        <v>31.0</v>
      </c>
      <c r="B1274" s="74" t="s">
        <v>229</v>
      </c>
      <c r="C1274" s="74" t="s">
        <v>230</v>
      </c>
      <c r="D1274" s="74" t="s">
        <v>30</v>
      </c>
      <c r="E1274" s="74" t="s">
        <v>56</v>
      </c>
      <c r="F1274" s="77">
        <v>64.07842246768047</v>
      </c>
    </row>
    <row r="1275">
      <c r="A1275" s="76">
        <v>9.0</v>
      </c>
      <c r="B1275" s="74" t="s">
        <v>207</v>
      </c>
      <c r="C1275" s="74" t="s">
        <v>208</v>
      </c>
      <c r="D1275" s="74" t="s">
        <v>11</v>
      </c>
      <c r="E1275" s="74" t="s">
        <v>76</v>
      </c>
      <c r="F1275" s="80">
        <v>10.228422467680472</v>
      </c>
    </row>
    <row r="1276">
      <c r="A1276" s="76">
        <v>15.0</v>
      </c>
      <c r="B1276" s="74" t="s">
        <v>58</v>
      </c>
      <c r="C1276" s="74" t="s">
        <v>59</v>
      </c>
      <c r="D1276" s="74" t="s">
        <v>11</v>
      </c>
      <c r="E1276" s="74" t="s">
        <v>12</v>
      </c>
      <c r="F1276" s="77">
        <v>9.368422467680473</v>
      </c>
    </row>
    <row r="1277">
      <c r="A1277" s="76">
        <v>62.0</v>
      </c>
      <c r="B1277" s="74" t="s">
        <v>156</v>
      </c>
      <c r="C1277" s="74" t="s">
        <v>157</v>
      </c>
      <c r="D1277" s="74" t="s">
        <v>11</v>
      </c>
      <c r="E1277" s="74" t="s">
        <v>60</v>
      </c>
      <c r="F1277" s="80">
        <v>34.078422467680475</v>
      </c>
    </row>
    <row r="1278">
      <c r="A1278" s="76">
        <v>55.0</v>
      </c>
      <c r="B1278" s="74" t="s">
        <v>202</v>
      </c>
      <c r="C1278" s="74" t="s">
        <v>203</v>
      </c>
      <c r="D1278" s="74" t="s">
        <v>30</v>
      </c>
      <c r="E1278" s="74" t="s">
        <v>35</v>
      </c>
      <c r="F1278" s="77">
        <v>19.168422467680475</v>
      </c>
    </row>
    <row r="1279">
      <c r="A1279" s="76">
        <v>59.0</v>
      </c>
      <c r="B1279" s="74" t="s">
        <v>103</v>
      </c>
      <c r="C1279" s="74" t="s">
        <v>104</v>
      </c>
      <c r="D1279" s="74" t="s">
        <v>30</v>
      </c>
      <c r="E1279" s="74" t="s">
        <v>50</v>
      </c>
      <c r="F1279" s="80">
        <v>25.068422467680474</v>
      </c>
    </row>
    <row r="1280">
      <c r="A1280" s="76">
        <v>58.0</v>
      </c>
      <c r="B1280" s="74" t="s">
        <v>165</v>
      </c>
      <c r="C1280" s="74" t="s">
        <v>166</v>
      </c>
      <c r="D1280" s="74" t="s">
        <v>30</v>
      </c>
      <c r="E1280" s="74" t="s">
        <v>79</v>
      </c>
      <c r="F1280" s="77">
        <v>27.488422467680476</v>
      </c>
    </row>
    <row r="1281">
      <c r="A1281" s="76">
        <v>21.0</v>
      </c>
      <c r="B1281" s="74" t="s">
        <v>186</v>
      </c>
      <c r="C1281" s="74" t="s">
        <v>187</v>
      </c>
      <c r="D1281" s="74" t="s">
        <v>11</v>
      </c>
      <c r="E1281" s="74" t="s">
        <v>79</v>
      </c>
      <c r="F1281" s="80">
        <v>30.538422467680476</v>
      </c>
    </row>
    <row r="1282">
      <c r="A1282" s="76">
        <v>24.0</v>
      </c>
      <c r="B1282" s="74" t="s">
        <v>139</v>
      </c>
      <c r="C1282" s="74" t="s">
        <v>140</v>
      </c>
      <c r="D1282" s="74" t="s">
        <v>11</v>
      </c>
      <c r="E1282" s="74" t="s">
        <v>43</v>
      </c>
      <c r="F1282" s="77">
        <v>14.858422467680473</v>
      </c>
    </row>
    <row r="1283">
      <c r="A1283" s="76">
        <v>64.0</v>
      </c>
      <c r="B1283" s="74" t="s">
        <v>159</v>
      </c>
      <c r="C1283" s="74" t="s">
        <v>160</v>
      </c>
      <c r="D1283" s="74" t="s">
        <v>11</v>
      </c>
      <c r="E1283" s="74" t="s">
        <v>60</v>
      </c>
      <c r="F1283" s="80">
        <v>50.63842246768048</v>
      </c>
    </row>
    <row r="1284">
      <c r="A1284" s="76">
        <v>18.0</v>
      </c>
      <c r="B1284" s="74" t="s">
        <v>163</v>
      </c>
      <c r="C1284" s="74" t="s">
        <v>240</v>
      </c>
      <c r="D1284" s="74" t="s">
        <v>11</v>
      </c>
      <c r="E1284" s="74" t="s">
        <v>68</v>
      </c>
      <c r="F1284" s="77">
        <v>8.938422467680473</v>
      </c>
    </row>
    <row r="1285">
      <c r="A1285" s="76">
        <v>75.0</v>
      </c>
      <c r="B1285" s="74" t="s">
        <v>238</v>
      </c>
      <c r="C1285" s="74" t="s">
        <v>239</v>
      </c>
      <c r="D1285" s="74" t="s">
        <v>11</v>
      </c>
      <c r="E1285" s="74" t="s">
        <v>85</v>
      </c>
      <c r="F1285" s="80">
        <v>11.748422467680474</v>
      </c>
    </row>
    <row r="1286">
      <c r="A1286" s="76">
        <v>99.0</v>
      </c>
      <c r="B1286" s="74" t="s">
        <v>73</v>
      </c>
      <c r="C1286" s="74" t="s">
        <v>74</v>
      </c>
      <c r="D1286" s="74" t="s">
        <v>11</v>
      </c>
      <c r="E1286" s="74" t="s">
        <v>88</v>
      </c>
      <c r="F1286" s="77">
        <v>34.798422467680474</v>
      </c>
    </row>
    <row r="1287">
      <c r="A1287" s="76">
        <v>28.0</v>
      </c>
      <c r="B1287" s="74" t="s">
        <v>77</v>
      </c>
      <c r="C1287" s="74" t="s">
        <v>78</v>
      </c>
      <c r="D1287" s="74" t="s">
        <v>30</v>
      </c>
      <c r="E1287" s="74" t="s">
        <v>46</v>
      </c>
      <c r="F1287" s="80">
        <v>11.548422467680473</v>
      </c>
    </row>
    <row r="1288">
      <c r="A1288" s="76">
        <v>21.0</v>
      </c>
      <c r="B1288" s="74" t="s">
        <v>186</v>
      </c>
      <c r="C1288" s="74" t="s">
        <v>187</v>
      </c>
      <c r="D1288" s="74" t="s">
        <v>11</v>
      </c>
      <c r="E1288" s="74" t="s">
        <v>52</v>
      </c>
      <c r="F1288" s="77">
        <v>56.908422467680474</v>
      </c>
    </row>
    <row r="1289">
      <c r="A1289" s="76">
        <v>88.0</v>
      </c>
      <c r="B1289" s="74" t="s">
        <v>200</v>
      </c>
      <c r="C1289" s="74" t="s">
        <v>206</v>
      </c>
      <c r="D1289" s="74" t="s">
        <v>30</v>
      </c>
      <c r="E1289" s="74" t="s">
        <v>60</v>
      </c>
      <c r="F1289" s="80">
        <v>50.83842246768047</v>
      </c>
    </row>
    <row r="1290">
      <c r="A1290" s="76">
        <v>70.0</v>
      </c>
      <c r="B1290" s="74" t="s">
        <v>152</v>
      </c>
      <c r="C1290" s="74" t="s">
        <v>153</v>
      </c>
      <c r="D1290" s="74" t="s">
        <v>11</v>
      </c>
      <c r="E1290" s="74" t="s">
        <v>52</v>
      </c>
      <c r="F1290" s="77">
        <v>52.80842246768047</v>
      </c>
    </row>
    <row r="1291">
      <c r="A1291" s="76">
        <v>39.0</v>
      </c>
      <c r="B1291" s="74" t="s">
        <v>89</v>
      </c>
      <c r="C1291" s="74" t="s">
        <v>90</v>
      </c>
      <c r="D1291" s="74" t="s">
        <v>30</v>
      </c>
      <c r="E1291" s="74" t="s">
        <v>91</v>
      </c>
      <c r="F1291" s="80">
        <v>1.8984224676804737</v>
      </c>
    </row>
    <row r="1292">
      <c r="A1292" s="76">
        <v>10.0</v>
      </c>
      <c r="B1292" s="74" t="s">
        <v>148</v>
      </c>
      <c r="C1292" s="74" t="s">
        <v>149</v>
      </c>
      <c r="D1292" s="74" t="s">
        <v>30</v>
      </c>
      <c r="E1292" s="74" t="s">
        <v>46</v>
      </c>
      <c r="F1292" s="77">
        <v>12.958422467680473</v>
      </c>
    </row>
    <row r="1293">
      <c r="A1293" s="76">
        <v>18.0</v>
      </c>
      <c r="B1293" s="74" t="s">
        <v>163</v>
      </c>
      <c r="C1293" s="74" t="s">
        <v>240</v>
      </c>
      <c r="D1293" s="74" t="s">
        <v>30</v>
      </c>
      <c r="E1293" s="74" t="s">
        <v>82</v>
      </c>
      <c r="F1293" s="80">
        <v>10.198422467680473</v>
      </c>
    </row>
    <row r="1294">
      <c r="A1294" s="76">
        <v>95.0</v>
      </c>
      <c r="B1294" s="74" t="s">
        <v>110</v>
      </c>
      <c r="C1294" s="74" t="s">
        <v>111</v>
      </c>
      <c r="D1294" s="74" t="s">
        <v>11</v>
      </c>
      <c r="E1294" s="74" t="s">
        <v>94</v>
      </c>
      <c r="F1294" s="77">
        <v>30.218422467680476</v>
      </c>
    </row>
    <row r="1295">
      <c r="A1295" s="76">
        <v>31.0</v>
      </c>
      <c r="B1295" s="74" t="s">
        <v>229</v>
      </c>
      <c r="C1295" s="74" t="s">
        <v>230</v>
      </c>
      <c r="D1295" s="74" t="s">
        <v>30</v>
      </c>
      <c r="E1295" s="74" t="s">
        <v>91</v>
      </c>
      <c r="F1295" s="80">
        <v>1.1984224676804736</v>
      </c>
    </row>
    <row r="1296">
      <c r="A1296" s="76">
        <v>76.0</v>
      </c>
      <c r="B1296" s="74" t="s">
        <v>213</v>
      </c>
      <c r="C1296" s="74" t="s">
        <v>214</v>
      </c>
      <c r="D1296" s="74" t="s">
        <v>11</v>
      </c>
      <c r="E1296" s="74" t="s">
        <v>12</v>
      </c>
      <c r="F1296" s="77">
        <v>9.208422467680473</v>
      </c>
    </row>
    <row r="1297">
      <c r="A1297" s="76">
        <v>49.0</v>
      </c>
      <c r="B1297" s="74" t="s">
        <v>179</v>
      </c>
      <c r="C1297" s="74" t="s">
        <v>180</v>
      </c>
      <c r="D1297" s="74" t="s">
        <v>30</v>
      </c>
      <c r="E1297" s="74" t="s">
        <v>85</v>
      </c>
      <c r="F1297" s="80">
        <v>11.128422467680473</v>
      </c>
    </row>
    <row r="1298">
      <c r="A1298" s="76">
        <v>71.0</v>
      </c>
      <c r="B1298" s="74" t="s">
        <v>150</v>
      </c>
      <c r="C1298" s="74" t="s">
        <v>151</v>
      </c>
      <c r="D1298" s="74" t="s">
        <v>11</v>
      </c>
      <c r="E1298" s="74" t="s">
        <v>35</v>
      </c>
      <c r="F1298" s="77">
        <v>11.238422467680474</v>
      </c>
    </row>
    <row r="1299">
      <c r="A1299" s="76">
        <v>24.0</v>
      </c>
      <c r="B1299" s="74" t="s">
        <v>139</v>
      </c>
      <c r="C1299" s="74" t="s">
        <v>140</v>
      </c>
      <c r="D1299" s="74" t="s">
        <v>11</v>
      </c>
      <c r="E1299" s="74" t="s">
        <v>39</v>
      </c>
      <c r="F1299" s="80">
        <v>30.378422467680476</v>
      </c>
    </row>
    <row r="1300">
      <c r="A1300" s="76">
        <v>36.0</v>
      </c>
      <c r="B1300" s="74" t="s">
        <v>92</v>
      </c>
      <c r="C1300" s="74" t="s">
        <v>93</v>
      </c>
      <c r="D1300" s="74" t="s">
        <v>11</v>
      </c>
      <c r="E1300" s="74" t="s">
        <v>82</v>
      </c>
      <c r="F1300" s="77">
        <v>11.578422467680474</v>
      </c>
    </row>
    <row r="1301">
      <c r="A1301" s="76">
        <v>31.0</v>
      </c>
      <c r="B1301" s="74" t="s">
        <v>229</v>
      </c>
      <c r="C1301" s="74" t="s">
        <v>230</v>
      </c>
      <c r="D1301" s="74" t="s">
        <v>11</v>
      </c>
      <c r="E1301" s="74" t="s">
        <v>50</v>
      </c>
      <c r="F1301" s="80">
        <v>25.068422467680474</v>
      </c>
    </row>
    <row r="1302">
      <c r="A1302" s="76">
        <v>45.0</v>
      </c>
      <c r="B1302" s="74" t="s">
        <v>221</v>
      </c>
      <c r="C1302" s="74" t="s">
        <v>222</v>
      </c>
      <c r="D1302" s="74" t="s">
        <v>30</v>
      </c>
      <c r="E1302" s="74" t="s">
        <v>94</v>
      </c>
      <c r="F1302" s="77">
        <v>26.158422467680474</v>
      </c>
    </row>
    <row r="1303">
      <c r="A1303" s="76">
        <v>21.0</v>
      </c>
      <c r="B1303" s="74" t="s">
        <v>186</v>
      </c>
      <c r="C1303" s="74" t="s">
        <v>187</v>
      </c>
      <c r="D1303" s="74" t="s">
        <v>30</v>
      </c>
      <c r="E1303" s="74" t="s">
        <v>97</v>
      </c>
      <c r="F1303" s="80">
        <v>1.1084224676804737</v>
      </c>
    </row>
    <row r="1304">
      <c r="A1304" s="76">
        <v>5.0</v>
      </c>
      <c r="B1304" s="74" t="s">
        <v>167</v>
      </c>
      <c r="C1304" s="74" t="s">
        <v>168</v>
      </c>
      <c r="D1304" s="74" t="s">
        <v>30</v>
      </c>
      <c r="E1304" s="74" t="s">
        <v>72</v>
      </c>
      <c r="F1304" s="77">
        <v>19.628422467680476</v>
      </c>
    </row>
    <row r="1305">
      <c r="A1305" s="76">
        <v>17.0</v>
      </c>
      <c r="B1305" s="74" t="s">
        <v>200</v>
      </c>
      <c r="C1305" s="74" t="s">
        <v>201</v>
      </c>
      <c r="D1305" s="74" t="s">
        <v>30</v>
      </c>
      <c r="E1305" s="74" t="s">
        <v>52</v>
      </c>
      <c r="F1305" s="80">
        <v>67.82842246768047</v>
      </c>
    </row>
    <row r="1306">
      <c r="A1306" s="76">
        <v>44.0</v>
      </c>
      <c r="B1306" s="74" t="s">
        <v>215</v>
      </c>
      <c r="C1306" s="74" t="s">
        <v>216</v>
      </c>
      <c r="D1306" s="74" t="s">
        <v>11</v>
      </c>
      <c r="E1306" s="74" t="s">
        <v>72</v>
      </c>
      <c r="F1306" s="77">
        <v>23.258422467680475</v>
      </c>
    </row>
    <row r="1307">
      <c r="A1307" s="76">
        <v>18.0</v>
      </c>
      <c r="B1307" s="74" t="s">
        <v>163</v>
      </c>
      <c r="C1307" s="74" t="s">
        <v>240</v>
      </c>
      <c r="D1307" s="74" t="s">
        <v>11</v>
      </c>
      <c r="E1307" s="74" t="s">
        <v>50</v>
      </c>
      <c r="F1307" s="80">
        <v>28.878422467680476</v>
      </c>
    </row>
    <row r="1308">
      <c r="A1308" s="76">
        <v>99.0</v>
      </c>
      <c r="B1308" s="74" t="s">
        <v>73</v>
      </c>
      <c r="C1308" s="74" t="s">
        <v>74</v>
      </c>
      <c r="D1308" s="74" t="s">
        <v>11</v>
      </c>
      <c r="E1308" s="74" t="s">
        <v>88</v>
      </c>
      <c r="F1308" s="77">
        <v>33.218422467680476</v>
      </c>
    </row>
    <row r="1309">
      <c r="A1309" s="76">
        <v>59.0</v>
      </c>
      <c r="B1309" s="74" t="s">
        <v>103</v>
      </c>
      <c r="C1309" s="74" t="s">
        <v>104</v>
      </c>
      <c r="D1309" s="74" t="s">
        <v>11</v>
      </c>
      <c r="E1309" s="74" t="s">
        <v>72</v>
      </c>
      <c r="F1309" s="80">
        <v>22.738422467680476</v>
      </c>
    </row>
    <row r="1310">
      <c r="A1310" s="76">
        <v>29.0</v>
      </c>
      <c r="B1310" s="74" t="s">
        <v>122</v>
      </c>
      <c r="C1310" s="74" t="s">
        <v>123</v>
      </c>
      <c r="D1310" s="74" t="s">
        <v>11</v>
      </c>
      <c r="E1310" s="74" t="s">
        <v>31</v>
      </c>
      <c r="F1310" s="77">
        <v>50.94842246768047</v>
      </c>
    </row>
    <row r="1311">
      <c r="A1311" s="76">
        <v>82.0</v>
      </c>
      <c r="B1311" s="74" t="s">
        <v>231</v>
      </c>
      <c r="C1311" s="74" t="s">
        <v>232</v>
      </c>
      <c r="D1311" s="74" t="s">
        <v>30</v>
      </c>
      <c r="E1311" s="74" t="s">
        <v>72</v>
      </c>
      <c r="F1311" s="80">
        <v>21.348422467680475</v>
      </c>
    </row>
    <row r="1312">
      <c r="A1312" s="76">
        <v>57.0</v>
      </c>
      <c r="B1312" s="74" t="s">
        <v>92</v>
      </c>
      <c r="C1312" s="74" t="s">
        <v>190</v>
      </c>
      <c r="D1312" s="74" t="s">
        <v>11</v>
      </c>
      <c r="E1312" s="74" t="s">
        <v>43</v>
      </c>
      <c r="F1312" s="77">
        <v>18.628422467680476</v>
      </c>
    </row>
    <row r="1313">
      <c r="A1313" s="76">
        <v>87.0</v>
      </c>
      <c r="B1313" s="74" t="s">
        <v>243</v>
      </c>
      <c r="C1313" s="74" t="s">
        <v>244</v>
      </c>
      <c r="D1313" s="74" t="s">
        <v>11</v>
      </c>
      <c r="E1313" s="74" t="s">
        <v>85</v>
      </c>
      <c r="F1313" s="80">
        <v>13.868422467680473</v>
      </c>
    </row>
    <row r="1314">
      <c r="A1314" s="76">
        <v>95.0</v>
      </c>
      <c r="B1314" s="74" t="s">
        <v>110</v>
      </c>
      <c r="C1314" s="74" t="s">
        <v>111</v>
      </c>
      <c r="D1314" s="74" t="s">
        <v>11</v>
      </c>
      <c r="E1314" s="74" t="s">
        <v>91</v>
      </c>
      <c r="F1314" s="77">
        <v>3.2884224676804736</v>
      </c>
    </row>
    <row r="1315">
      <c r="A1315" s="76">
        <v>81.0</v>
      </c>
      <c r="B1315" s="74" t="s">
        <v>54</v>
      </c>
      <c r="C1315" s="74" t="s">
        <v>55</v>
      </c>
      <c r="D1315" s="74" t="s">
        <v>30</v>
      </c>
      <c r="E1315" s="74" t="s">
        <v>88</v>
      </c>
      <c r="F1315" s="80">
        <v>31.378422467680473</v>
      </c>
    </row>
    <row r="1316">
      <c r="A1316" s="76">
        <v>46.0</v>
      </c>
      <c r="B1316" s="74" t="s">
        <v>143</v>
      </c>
      <c r="C1316" s="74" t="s">
        <v>144</v>
      </c>
      <c r="D1316" s="74" t="s">
        <v>11</v>
      </c>
      <c r="E1316" s="74" t="s">
        <v>68</v>
      </c>
      <c r="F1316" s="77">
        <v>6.038422467680474</v>
      </c>
    </row>
    <row r="1317">
      <c r="A1317" s="76">
        <v>70.0</v>
      </c>
      <c r="B1317" s="74" t="s">
        <v>152</v>
      </c>
      <c r="C1317" s="74" t="s">
        <v>153</v>
      </c>
      <c r="D1317" s="74" t="s">
        <v>30</v>
      </c>
      <c r="E1317" s="74" t="s">
        <v>31</v>
      </c>
      <c r="F1317" s="80">
        <v>40.73842246768047</v>
      </c>
    </row>
    <row r="1318">
      <c r="A1318" s="76">
        <v>30.0</v>
      </c>
      <c r="B1318" s="74" t="s">
        <v>9</v>
      </c>
      <c r="C1318" s="74" t="s">
        <v>10</v>
      </c>
      <c r="D1318" s="74" t="s">
        <v>30</v>
      </c>
      <c r="E1318" s="74" t="s">
        <v>39</v>
      </c>
      <c r="F1318" s="77">
        <v>31.498422467680477</v>
      </c>
    </row>
    <row r="1319">
      <c r="A1319" s="76">
        <v>32.0</v>
      </c>
      <c r="B1319" s="74" t="s">
        <v>146</v>
      </c>
      <c r="C1319" s="74" t="s">
        <v>147</v>
      </c>
      <c r="D1319" s="74" t="s">
        <v>30</v>
      </c>
      <c r="E1319" s="74" t="s">
        <v>94</v>
      </c>
      <c r="F1319" s="80">
        <v>27.598422467680475</v>
      </c>
    </row>
    <row r="1320">
      <c r="A1320" s="76">
        <v>20.0</v>
      </c>
      <c r="B1320" s="74" t="s">
        <v>161</v>
      </c>
      <c r="C1320" s="74" t="s">
        <v>162</v>
      </c>
      <c r="D1320" s="74" t="s">
        <v>30</v>
      </c>
      <c r="E1320" s="74" t="s">
        <v>60</v>
      </c>
      <c r="F1320" s="77">
        <v>53.13842246768048</v>
      </c>
    </row>
    <row r="1321">
      <c r="A1321" s="76">
        <v>32.0</v>
      </c>
      <c r="B1321" s="74" t="s">
        <v>146</v>
      </c>
      <c r="C1321" s="74" t="s">
        <v>147</v>
      </c>
      <c r="D1321" s="74" t="s">
        <v>30</v>
      </c>
      <c r="E1321" s="74" t="s">
        <v>88</v>
      </c>
      <c r="F1321" s="80">
        <v>36.74842246768048</v>
      </c>
    </row>
    <row r="1322">
      <c r="A1322" s="76">
        <v>61.0</v>
      </c>
      <c r="B1322" s="74" t="s">
        <v>106</v>
      </c>
      <c r="C1322" s="74" t="s">
        <v>107</v>
      </c>
      <c r="D1322" s="74" t="s">
        <v>30</v>
      </c>
      <c r="E1322" s="74" t="s">
        <v>56</v>
      </c>
      <c r="F1322" s="77">
        <v>70.73842246768046</v>
      </c>
    </row>
    <row r="1323">
      <c r="A1323" s="76">
        <v>66.0</v>
      </c>
      <c r="B1323" s="74" t="s">
        <v>150</v>
      </c>
      <c r="C1323" s="74" t="s">
        <v>158</v>
      </c>
      <c r="D1323" s="74" t="s">
        <v>30</v>
      </c>
      <c r="E1323" s="74" t="s">
        <v>72</v>
      </c>
      <c r="F1323" s="80">
        <v>16.708422467680474</v>
      </c>
    </row>
    <row r="1324">
      <c r="A1324" s="76">
        <v>6.0</v>
      </c>
      <c r="B1324" s="74" t="s">
        <v>183</v>
      </c>
      <c r="C1324" s="74" t="s">
        <v>184</v>
      </c>
      <c r="D1324" s="74" t="s">
        <v>11</v>
      </c>
      <c r="E1324" s="74" t="s">
        <v>31</v>
      </c>
      <c r="F1324" s="77">
        <v>43.20842246768048</v>
      </c>
    </row>
    <row r="1325">
      <c r="A1325" s="76">
        <v>21.0</v>
      </c>
      <c r="B1325" s="74" t="s">
        <v>186</v>
      </c>
      <c r="C1325" s="74" t="s">
        <v>187</v>
      </c>
      <c r="D1325" s="74" t="s">
        <v>30</v>
      </c>
      <c r="E1325" s="74" t="s">
        <v>43</v>
      </c>
      <c r="F1325" s="80">
        <v>13.788422467680473</v>
      </c>
    </row>
    <row r="1326">
      <c r="A1326" s="76">
        <v>13.0</v>
      </c>
      <c r="B1326" s="74" t="s">
        <v>137</v>
      </c>
      <c r="C1326" s="74" t="s">
        <v>138</v>
      </c>
      <c r="D1326" s="74" t="s">
        <v>11</v>
      </c>
      <c r="E1326" s="74" t="s">
        <v>91</v>
      </c>
      <c r="F1326" s="77">
        <v>0.3084224676804739</v>
      </c>
    </row>
    <row r="1327">
      <c r="A1327" s="76">
        <v>70.0</v>
      </c>
      <c r="B1327" s="74" t="s">
        <v>152</v>
      </c>
      <c r="C1327" s="74" t="s">
        <v>153</v>
      </c>
      <c r="D1327" s="74" t="s">
        <v>11</v>
      </c>
      <c r="E1327" s="74" t="s">
        <v>97</v>
      </c>
      <c r="F1327" s="80">
        <v>1.1284224676804737</v>
      </c>
    </row>
    <row r="1328">
      <c r="A1328" s="76">
        <v>85.0</v>
      </c>
      <c r="B1328" s="74" t="s">
        <v>198</v>
      </c>
      <c r="C1328" s="74" t="s">
        <v>199</v>
      </c>
      <c r="D1328" s="74" t="s">
        <v>11</v>
      </c>
      <c r="E1328" s="74" t="s">
        <v>76</v>
      </c>
      <c r="F1328" s="77">
        <v>11.418422467680474</v>
      </c>
    </row>
    <row r="1329">
      <c r="A1329" s="76">
        <v>26.0</v>
      </c>
      <c r="B1329" s="74" t="s">
        <v>211</v>
      </c>
      <c r="C1329" s="74" t="s">
        <v>212</v>
      </c>
      <c r="D1329" s="74" t="s">
        <v>30</v>
      </c>
      <c r="E1329" s="74" t="s">
        <v>12</v>
      </c>
      <c r="F1329" s="80">
        <v>9.698422467680473</v>
      </c>
    </row>
    <row r="1330">
      <c r="A1330" s="76">
        <v>18.0</v>
      </c>
      <c r="B1330" s="74" t="s">
        <v>163</v>
      </c>
      <c r="C1330" s="74" t="s">
        <v>240</v>
      </c>
      <c r="D1330" s="74" t="s">
        <v>11</v>
      </c>
      <c r="E1330" s="74" t="s">
        <v>82</v>
      </c>
      <c r="F1330" s="77">
        <v>9.078422467680474</v>
      </c>
    </row>
    <row r="1331">
      <c r="A1331" s="76">
        <v>97.0</v>
      </c>
      <c r="B1331" s="74" t="s">
        <v>69</v>
      </c>
      <c r="C1331" s="74" t="s">
        <v>70</v>
      </c>
      <c r="D1331" s="74" t="s">
        <v>11</v>
      </c>
      <c r="E1331" s="74" t="s">
        <v>31</v>
      </c>
      <c r="F1331" s="80">
        <v>38.45842246768048</v>
      </c>
    </row>
    <row r="1332">
      <c r="A1332" s="76">
        <v>37.0</v>
      </c>
      <c r="B1332" s="74" t="s">
        <v>245</v>
      </c>
      <c r="C1332" s="74" t="s">
        <v>246</v>
      </c>
      <c r="D1332" s="74" t="s">
        <v>11</v>
      </c>
      <c r="E1332" s="74" t="s">
        <v>82</v>
      </c>
      <c r="F1332" s="77">
        <v>11.048422467680473</v>
      </c>
    </row>
    <row r="1333">
      <c r="A1333" s="76">
        <v>66.0</v>
      </c>
      <c r="B1333" s="74" t="s">
        <v>150</v>
      </c>
      <c r="C1333" s="74" t="s">
        <v>158</v>
      </c>
      <c r="D1333" s="74" t="s">
        <v>30</v>
      </c>
      <c r="E1333" s="74" t="s">
        <v>97</v>
      </c>
      <c r="F1333" s="80">
        <v>2.2584224676804734</v>
      </c>
    </row>
    <row r="1334">
      <c r="A1334" s="76">
        <v>45.0</v>
      </c>
      <c r="B1334" s="74" t="s">
        <v>221</v>
      </c>
      <c r="C1334" s="74" t="s">
        <v>222</v>
      </c>
      <c r="D1334" s="74" t="s">
        <v>11</v>
      </c>
      <c r="E1334" s="74" t="s">
        <v>94</v>
      </c>
      <c r="F1334" s="77">
        <v>24.968422467680476</v>
      </c>
    </row>
    <row r="1335">
      <c r="A1335" s="76">
        <v>99.0</v>
      </c>
      <c r="B1335" s="74" t="s">
        <v>73</v>
      </c>
      <c r="C1335" s="74" t="s">
        <v>74</v>
      </c>
      <c r="D1335" s="74" t="s">
        <v>30</v>
      </c>
      <c r="E1335" s="74" t="s">
        <v>31</v>
      </c>
      <c r="F1335" s="80">
        <v>42.508422467680475</v>
      </c>
    </row>
    <row r="1336">
      <c r="A1336" s="76">
        <v>84.0</v>
      </c>
      <c r="B1336" s="74" t="s">
        <v>141</v>
      </c>
      <c r="C1336" s="74" t="s">
        <v>142</v>
      </c>
      <c r="D1336" s="74" t="s">
        <v>30</v>
      </c>
      <c r="E1336" s="74" t="s">
        <v>91</v>
      </c>
      <c r="F1336" s="77">
        <v>0.29842246768047387</v>
      </c>
    </row>
    <row r="1337">
      <c r="A1337" s="76">
        <v>74.0</v>
      </c>
      <c r="B1337" s="74" t="s">
        <v>9</v>
      </c>
      <c r="C1337" s="74" t="s">
        <v>124</v>
      </c>
      <c r="D1337" s="74" t="s">
        <v>11</v>
      </c>
      <c r="E1337" s="74" t="s">
        <v>97</v>
      </c>
      <c r="F1337" s="80">
        <v>2.2184224676804734</v>
      </c>
    </row>
    <row r="1338">
      <c r="A1338" s="76">
        <v>70.0</v>
      </c>
      <c r="B1338" s="74" t="s">
        <v>152</v>
      </c>
      <c r="C1338" s="74" t="s">
        <v>153</v>
      </c>
      <c r="D1338" s="74" t="s">
        <v>11</v>
      </c>
      <c r="E1338" s="74" t="s">
        <v>50</v>
      </c>
      <c r="F1338" s="77">
        <v>33.16842246768047</v>
      </c>
    </row>
    <row r="1339">
      <c r="A1339" s="76">
        <v>47.0</v>
      </c>
      <c r="B1339" s="74" t="s">
        <v>120</v>
      </c>
      <c r="C1339" s="74" t="s">
        <v>121</v>
      </c>
      <c r="D1339" s="74" t="s">
        <v>11</v>
      </c>
      <c r="E1339" s="74" t="s">
        <v>76</v>
      </c>
      <c r="F1339" s="80">
        <v>9.848422467680473</v>
      </c>
    </row>
    <row r="1340">
      <c r="A1340" s="76">
        <v>44.0</v>
      </c>
      <c r="B1340" s="74" t="s">
        <v>215</v>
      </c>
      <c r="C1340" s="74" t="s">
        <v>216</v>
      </c>
      <c r="D1340" s="74" t="s">
        <v>11</v>
      </c>
      <c r="E1340" s="74" t="s">
        <v>50</v>
      </c>
      <c r="F1340" s="77">
        <v>27.588422467680473</v>
      </c>
    </row>
    <row r="1341">
      <c r="A1341" s="76">
        <v>74.0</v>
      </c>
      <c r="B1341" s="74" t="s">
        <v>9</v>
      </c>
      <c r="C1341" s="74" t="s">
        <v>124</v>
      </c>
      <c r="D1341" s="74" t="s">
        <v>11</v>
      </c>
      <c r="E1341" s="74" t="s">
        <v>35</v>
      </c>
      <c r="F1341" s="80">
        <v>17.468422467680476</v>
      </c>
    </row>
    <row r="1342">
      <c r="A1342" s="76">
        <v>34.0</v>
      </c>
      <c r="B1342" s="74" t="s">
        <v>177</v>
      </c>
      <c r="C1342" s="74" t="s">
        <v>178</v>
      </c>
      <c r="D1342" s="74" t="s">
        <v>11</v>
      </c>
      <c r="E1342" s="74" t="s">
        <v>46</v>
      </c>
      <c r="F1342" s="77">
        <v>11.558422467680472</v>
      </c>
    </row>
    <row r="1343">
      <c r="A1343" s="76">
        <v>100.0</v>
      </c>
      <c r="B1343" s="74" t="s">
        <v>48</v>
      </c>
      <c r="C1343" s="74" t="s">
        <v>49</v>
      </c>
      <c r="D1343" s="74" t="s">
        <v>30</v>
      </c>
      <c r="E1343" s="74" t="s">
        <v>82</v>
      </c>
      <c r="F1343" s="80">
        <v>11.798422467680473</v>
      </c>
    </row>
    <row r="1344">
      <c r="A1344" s="76">
        <v>13.0</v>
      </c>
      <c r="B1344" s="74" t="s">
        <v>137</v>
      </c>
      <c r="C1344" s="74" t="s">
        <v>138</v>
      </c>
      <c r="D1344" s="74" t="s">
        <v>30</v>
      </c>
      <c r="E1344" s="74" t="s">
        <v>60</v>
      </c>
      <c r="F1344" s="77">
        <v>43.20842246768048</v>
      </c>
    </row>
    <row r="1345">
      <c r="A1345" s="76">
        <v>77.0</v>
      </c>
      <c r="B1345" s="74" t="s">
        <v>9</v>
      </c>
      <c r="C1345" s="74" t="s">
        <v>169</v>
      </c>
      <c r="D1345" s="74" t="s">
        <v>30</v>
      </c>
      <c r="E1345" s="74" t="s">
        <v>97</v>
      </c>
      <c r="F1345" s="80">
        <v>3.738422467680474</v>
      </c>
    </row>
    <row r="1346">
      <c r="A1346" s="76">
        <v>73.0</v>
      </c>
      <c r="B1346" s="74" t="s">
        <v>223</v>
      </c>
      <c r="C1346" s="74" t="s">
        <v>224</v>
      </c>
      <c r="D1346" s="74" t="s">
        <v>11</v>
      </c>
      <c r="E1346" s="74" t="s">
        <v>60</v>
      </c>
      <c r="F1346" s="77">
        <v>53.298422467680474</v>
      </c>
    </row>
    <row r="1347">
      <c r="A1347" s="76">
        <v>93.0</v>
      </c>
      <c r="B1347" s="74" t="s">
        <v>129</v>
      </c>
      <c r="C1347" s="74" t="s">
        <v>130</v>
      </c>
      <c r="D1347" s="74" t="s">
        <v>11</v>
      </c>
      <c r="E1347" s="74" t="s">
        <v>68</v>
      </c>
      <c r="F1347" s="80">
        <v>17.448422467680476</v>
      </c>
    </row>
    <row r="1348">
      <c r="A1348" s="76">
        <v>3.0</v>
      </c>
      <c r="B1348" s="74" t="s">
        <v>80</v>
      </c>
      <c r="C1348" s="74" t="s">
        <v>81</v>
      </c>
      <c r="D1348" s="74" t="s">
        <v>11</v>
      </c>
      <c r="E1348" s="74" t="s">
        <v>43</v>
      </c>
      <c r="F1348" s="77">
        <v>19.488422467680476</v>
      </c>
    </row>
    <row r="1349">
      <c r="A1349" s="76">
        <v>44.0</v>
      </c>
      <c r="B1349" s="74" t="s">
        <v>215</v>
      </c>
      <c r="C1349" s="74" t="s">
        <v>216</v>
      </c>
      <c r="D1349" s="74" t="s">
        <v>11</v>
      </c>
      <c r="E1349" s="74" t="s">
        <v>35</v>
      </c>
      <c r="F1349" s="80">
        <v>14.388422467680472</v>
      </c>
    </row>
    <row r="1350">
      <c r="A1350" s="76">
        <v>89.0</v>
      </c>
      <c r="B1350" s="74" t="s">
        <v>135</v>
      </c>
      <c r="C1350" s="74" t="s">
        <v>136</v>
      </c>
      <c r="D1350" s="74" t="s">
        <v>11</v>
      </c>
      <c r="E1350" s="74" t="s">
        <v>31</v>
      </c>
      <c r="F1350" s="77">
        <v>39.27842246768048</v>
      </c>
    </row>
    <row r="1351">
      <c r="A1351" s="76">
        <v>92.0</v>
      </c>
      <c r="B1351" s="74" t="s">
        <v>112</v>
      </c>
      <c r="C1351" s="74" t="s">
        <v>197</v>
      </c>
      <c r="D1351" s="74" t="s">
        <v>11</v>
      </c>
      <c r="E1351" s="74" t="s">
        <v>82</v>
      </c>
      <c r="F1351" s="80">
        <v>12.598422467680473</v>
      </c>
    </row>
    <row r="1352">
      <c r="A1352" s="76">
        <v>55.0</v>
      </c>
      <c r="B1352" s="74" t="s">
        <v>202</v>
      </c>
      <c r="C1352" s="74" t="s">
        <v>203</v>
      </c>
      <c r="D1352" s="74" t="s">
        <v>11</v>
      </c>
      <c r="E1352" s="74" t="s">
        <v>60</v>
      </c>
      <c r="F1352" s="77">
        <v>52.30842246768047</v>
      </c>
    </row>
    <row r="1353">
      <c r="A1353" s="76">
        <v>30.0</v>
      </c>
      <c r="B1353" s="74" t="s">
        <v>9</v>
      </c>
      <c r="C1353" s="74" t="s">
        <v>10</v>
      </c>
      <c r="D1353" s="74" t="s">
        <v>30</v>
      </c>
      <c r="E1353" s="74" t="s">
        <v>94</v>
      </c>
      <c r="F1353" s="80">
        <v>26.718422467680476</v>
      </c>
    </row>
    <row r="1354">
      <c r="A1354" s="76">
        <v>37.0</v>
      </c>
      <c r="B1354" s="74" t="s">
        <v>245</v>
      </c>
      <c r="C1354" s="74" t="s">
        <v>246</v>
      </c>
      <c r="D1354" s="74" t="s">
        <v>11</v>
      </c>
      <c r="E1354" s="74" t="s">
        <v>85</v>
      </c>
      <c r="F1354" s="77">
        <v>13.288422467680473</v>
      </c>
    </row>
    <row r="1355">
      <c r="A1355" s="76">
        <v>6.0</v>
      </c>
      <c r="B1355" s="74" t="s">
        <v>183</v>
      </c>
      <c r="C1355" s="74" t="s">
        <v>184</v>
      </c>
      <c r="D1355" s="74" t="s">
        <v>11</v>
      </c>
      <c r="E1355" s="74" t="s">
        <v>60</v>
      </c>
      <c r="F1355" s="80">
        <v>43.868422467680475</v>
      </c>
    </row>
    <row r="1356">
      <c r="A1356" s="76">
        <v>97.0</v>
      </c>
      <c r="B1356" s="74" t="s">
        <v>69</v>
      </c>
      <c r="C1356" s="74" t="s">
        <v>70</v>
      </c>
      <c r="D1356" s="74" t="s">
        <v>11</v>
      </c>
      <c r="E1356" s="74" t="s">
        <v>94</v>
      </c>
      <c r="F1356" s="77">
        <v>25.058422467680476</v>
      </c>
    </row>
    <row r="1357">
      <c r="A1357" s="76">
        <v>32.0</v>
      </c>
      <c r="B1357" s="74" t="s">
        <v>146</v>
      </c>
      <c r="C1357" s="74" t="s">
        <v>147</v>
      </c>
      <c r="D1357" s="74" t="s">
        <v>11</v>
      </c>
      <c r="E1357" s="74" t="s">
        <v>97</v>
      </c>
      <c r="F1357" s="80">
        <v>4.178422467680474</v>
      </c>
    </row>
    <row r="1358">
      <c r="A1358" s="76">
        <v>2.0</v>
      </c>
      <c r="B1358" s="74" t="s">
        <v>83</v>
      </c>
      <c r="C1358" s="74" t="s">
        <v>84</v>
      </c>
      <c r="D1358" s="74" t="s">
        <v>11</v>
      </c>
      <c r="E1358" s="74" t="s">
        <v>46</v>
      </c>
      <c r="F1358" s="77">
        <v>11.888422467680472</v>
      </c>
    </row>
    <row r="1359">
      <c r="A1359" s="76">
        <v>72.0</v>
      </c>
      <c r="B1359" s="74" t="s">
        <v>133</v>
      </c>
      <c r="C1359" s="74" t="s">
        <v>134</v>
      </c>
      <c r="D1359" s="74" t="s">
        <v>11</v>
      </c>
      <c r="E1359" s="74" t="s">
        <v>94</v>
      </c>
      <c r="F1359" s="80">
        <v>30.698422467680476</v>
      </c>
    </row>
    <row r="1360">
      <c r="A1360" s="76">
        <v>22.0</v>
      </c>
      <c r="B1360" s="74" t="s">
        <v>131</v>
      </c>
      <c r="C1360" s="74" t="s">
        <v>132</v>
      </c>
      <c r="D1360" s="74" t="s">
        <v>30</v>
      </c>
      <c r="E1360" s="74" t="s">
        <v>56</v>
      </c>
      <c r="F1360" s="77">
        <v>63.468422467680476</v>
      </c>
    </row>
    <row r="1361">
      <c r="A1361" s="76">
        <v>72.0</v>
      </c>
      <c r="B1361" s="74" t="s">
        <v>133</v>
      </c>
      <c r="C1361" s="74" t="s">
        <v>134</v>
      </c>
      <c r="D1361" s="74" t="s">
        <v>30</v>
      </c>
      <c r="E1361" s="74" t="s">
        <v>43</v>
      </c>
      <c r="F1361" s="80">
        <v>12.088422467680473</v>
      </c>
    </row>
    <row r="1362">
      <c r="A1362" s="76">
        <v>10.0</v>
      </c>
      <c r="B1362" s="74" t="s">
        <v>148</v>
      </c>
      <c r="C1362" s="74" t="s">
        <v>149</v>
      </c>
      <c r="D1362" s="74" t="s">
        <v>11</v>
      </c>
      <c r="E1362" s="74" t="s">
        <v>39</v>
      </c>
      <c r="F1362" s="77">
        <v>18.538422467680476</v>
      </c>
    </row>
    <row r="1363">
      <c r="A1363" s="76">
        <v>37.0</v>
      </c>
      <c r="B1363" s="74" t="s">
        <v>245</v>
      </c>
      <c r="C1363" s="74" t="s">
        <v>246</v>
      </c>
      <c r="D1363" s="74" t="s">
        <v>11</v>
      </c>
      <c r="E1363" s="74" t="s">
        <v>52</v>
      </c>
      <c r="F1363" s="80">
        <v>58.56842246768048</v>
      </c>
    </row>
    <row r="1364">
      <c r="A1364" s="76">
        <v>75.0</v>
      </c>
      <c r="B1364" s="74" t="s">
        <v>238</v>
      </c>
      <c r="C1364" s="74" t="s">
        <v>239</v>
      </c>
      <c r="D1364" s="74" t="s">
        <v>11</v>
      </c>
      <c r="E1364" s="74" t="s">
        <v>79</v>
      </c>
      <c r="F1364" s="77">
        <v>27.078422467680475</v>
      </c>
    </row>
    <row r="1365">
      <c r="A1365" s="76">
        <v>17.0</v>
      </c>
      <c r="B1365" s="74" t="s">
        <v>200</v>
      </c>
      <c r="C1365" s="74" t="s">
        <v>201</v>
      </c>
      <c r="D1365" s="74" t="s">
        <v>11</v>
      </c>
      <c r="E1365" s="74" t="s">
        <v>72</v>
      </c>
      <c r="F1365" s="80">
        <v>23.798422467680474</v>
      </c>
    </row>
    <row r="1366">
      <c r="A1366" s="76">
        <v>60.0</v>
      </c>
      <c r="B1366" s="74" t="s">
        <v>65</v>
      </c>
      <c r="C1366" s="74" t="s">
        <v>66</v>
      </c>
      <c r="D1366" s="74" t="s">
        <v>30</v>
      </c>
      <c r="E1366" s="74" t="s">
        <v>46</v>
      </c>
      <c r="F1366" s="77">
        <v>11.488422467680474</v>
      </c>
    </row>
    <row r="1367">
      <c r="A1367" s="76">
        <v>45.0</v>
      </c>
      <c r="B1367" s="74" t="s">
        <v>221</v>
      </c>
      <c r="C1367" s="74" t="s">
        <v>222</v>
      </c>
      <c r="D1367" s="74" t="s">
        <v>30</v>
      </c>
      <c r="E1367" s="74" t="s">
        <v>31</v>
      </c>
      <c r="F1367" s="80">
        <v>50.62842246768047</v>
      </c>
    </row>
    <row r="1368">
      <c r="A1368" s="76">
        <v>89.0</v>
      </c>
      <c r="B1368" s="74" t="s">
        <v>135</v>
      </c>
      <c r="C1368" s="74" t="s">
        <v>136</v>
      </c>
      <c r="D1368" s="74" t="s">
        <v>30</v>
      </c>
      <c r="E1368" s="74" t="s">
        <v>94</v>
      </c>
      <c r="F1368" s="77">
        <v>28.038422467680476</v>
      </c>
    </row>
    <row r="1369">
      <c r="A1369" s="76">
        <v>29.0</v>
      </c>
      <c r="B1369" s="74" t="s">
        <v>122</v>
      </c>
      <c r="C1369" s="74" t="s">
        <v>123</v>
      </c>
      <c r="D1369" s="74" t="s">
        <v>11</v>
      </c>
      <c r="E1369" s="74" t="s">
        <v>97</v>
      </c>
      <c r="F1369" s="80">
        <v>3.268422467680474</v>
      </c>
    </row>
    <row r="1370">
      <c r="A1370" s="76">
        <v>87.0</v>
      </c>
      <c r="B1370" s="74" t="s">
        <v>243</v>
      </c>
      <c r="C1370" s="74" t="s">
        <v>244</v>
      </c>
      <c r="D1370" s="74" t="s">
        <v>30</v>
      </c>
      <c r="E1370" s="74" t="s">
        <v>97</v>
      </c>
      <c r="F1370" s="77">
        <v>1.0084224676804736</v>
      </c>
    </row>
    <row r="1371">
      <c r="A1371" s="76">
        <v>71.0</v>
      </c>
      <c r="B1371" s="74" t="s">
        <v>150</v>
      </c>
      <c r="C1371" s="74" t="s">
        <v>151</v>
      </c>
      <c r="D1371" s="74" t="s">
        <v>30</v>
      </c>
      <c r="E1371" s="74" t="s">
        <v>79</v>
      </c>
      <c r="F1371" s="80">
        <v>31.588422467680473</v>
      </c>
    </row>
    <row r="1372">
      <c r="A1372" s="76">
        <v>22.0</v>
      </c>
      <c r="B1372" s="74" t="s">
        <v>131</v>
      </c>
      <c r="C1372" s="74" t="s">
        <v>132</v>
      </c>
      <c r="D1372" s="74" t="s">
        <v>30</v>
      </c>
      <c r="E1372" s="74" t="s">
        <v>31</v>
      </c>
      <c r="F1372" s="77">
        <v>54.62842246768047</v>
      </c>
    </row>
    <row r="1373">
      <c r="A1373" s="76">
        <v>57.0</v>
      </c>
      <c r="B1373" s="74" t="s">
        <v>92</v>
      </c>
      <c r="C1373" s="74" t="s">
        <v>190</v>
      </c>
      <c r="D1373" s="74" t="s">
        <v>11</v>
      </c>
      <c r="E1373" s="74" t="s">
        <v>60</v>
      </c>
      <c r="F1373" s="80">
        <v>34.508422467680475</v>
      </c>
    </row>
    <row r="1374">
      <c r="A1374" s="76">
        <v>70.0</v>
      </c>
      <c r="B1374" s="74" t="s">
        <v>152</v>
      </c>
      <c r="C1374" s="74" t="s">
        <v>153</v>
      </c>
      <c r="D1374" s="74" t="s">
        <v>30</v>
      </c>
      <c r="E1374" s="74" t="s">
        <v>85</v>
      </c>
      <c r="F1374" s="77">
        <v>14.848422467680473</v>
      </c>
    </row>
    <row r="1375">
      <c r="A1375" s="76">
        <v>1.0</v>
      </c>
      <c r="B1375" s="74" t="s">
        <v>194</v>
      </c>
      <c r="C1375" s="74" t="s">
        <v>195</v>
      </c>
      <c r="D1375" s="74" t="s">
        <v>30</v>
      </c>
      <c r="E1375" s="74" t="s">
        <v>76</v>
      </c>
      <c r="F1375" s="80">
        <v>10.598422467680473</v>
      </c>
    </row>
    <row r="1376">
      <c r="A1376" s="76">
        <v>74.0</v>
      </c>
      <c r="B1376" s="74" t="s">
        <v>9</v>
      </c>
      <c r="C1376" s="74" t="s">
        <v>124</v>
      </c>
      <c r="D1376" s="74" t="s">
        <v>30</v>
      </c>
      <c r="E1376" s="74" t="s">
        <v>97</v>
      </c>
      <c r="F1376" s="77">
        <v>3.768422467680474</v>
      </c>
    </row>
    <row r="1377">
      <c r="A1377" s="76">
        <v>38.0</v>
      </c>
      <c r="B1377" s="74" t="s">
        <v>116</v>
      </c>
      <c r="C1377" s="74" t="s">
        <v>117</v>
      </c>
      <c r="D1377" s="74" t="s">
        <v>30</v>
      </c>
      <c r="E1377" s="74" t="s">
        <v>39</v>
      </c>
      <c r="F1377" s="80">
        <v>17.458422467680474</v>
      </c>
    </row>
    <row r="1378">
      <c r="A1378" s="76">
        <v>6.0</v>
      </c>
      <c r="B1378" s="74" t="s">
        <v>183</v>
      </c>
      <c r="C1378" s="74" t="s">
        <v>184</v>
      </c>
      <c r="D1378" s="74" t="s">
        <v>11</v>
      </c>
      <c r="E1378" s="74" t="s">
        <v>72</v>
      </c>
      <c r="F1378" s="77">
        <v>18.438422467680475</v>
      </c>
    </row>
    <row r="1379">
      <c r="A1379" s="76">
        <v>56.0</v>
      </c>
      <c r="B1379" s="74" t="s">
        <v>127</v>
      </c>
      <c r="C1379" s="74" t="s">
        <v>128</v>
      </c>
      <c r="D1379" s="74" t="s">
        <v>11</v>
      </c>
      <c r="E1379" s="74" t="s">
        <v>85</v>
      </c>
      <c r="F1379" s="80">
        <v>13.108422467680473</v>
      </c>
    </row>
    <row r="1380">
      <c r="A1380" s="76">
        <v>21.0</v>
      </c>
      <c r="B1380" s="74" t="s">
        <v>186</v>
      </c>
      <c r="C1380" s="74" t="s">
        <v>187</v>
      </c>
      <c r="D1380" s="74" t="s">
        <v>30</v>
      </c>
      <c r="E1380" s="74" t="s">
        <v>50</v>
      </c>
      <c r="F1380" s="77">
        <v>24.328422467680475</v>
      </c>
    </row>
    <row r="1381">
      <c r="A1381" s="76">
        <v>20.0</v>
      </c>
      <c r="B1381" s="74" t="s">
        <v>161</v>
      </c>
      <c r="C1381" s="74" t="s">
        <v>162</v>
      </c>
      <c r="D1381" s="74" t="s">
        <v>30</v>
      </c>
      <c r="E1381" s="74" t="s">
        <v>60</v>
      </c>
      <c r="F1381" s="80">
        <v>45.758422467680475</v>
      </c>
    </row>
    <row r="1382">
      <c r="A1382" s="76">
        <v>19.0</v>
      </c>
      <c r="B1382" s="74" t="s">
        <v>41</v>
      </c>
      <c r="C1382" s="74" t="s">
        <v>193</v>
      </c>
      <c r="D1382" s="74" t="s">
        <v>30</v>
      </c>
      <c r="E1382" s="74" t="s">
        <v>31</v>
      </c>
      <c r="F1382" s="77">
        <v>48.008422467680475</v>
      </c>
    </row>
    <row r="1383">
      <c r="A1383" s="76">
        <v>82.0</v>
      </c>
      <c r="B1383" s="74" t="s">
        <v>231</v>
      </c>
      <c r="C1383" s="74" t="s">
        <v>232</v>
      </c>
      <c r="D1383" s="74" t="s">
        <v>30</v>
      </c>
      <c r="E1383" s="74" t="s">
        <v>56</v>
      </c>
      <c r="F1383" s="80">
        <v>70.94842246768047</v>
      </c>
    </row>
    <row r="1384">
      <c r="A1384" s="76">
        <v>93.0</v>
      </c>
      <c r="B1384" s="74" t="s">
        <v>129</v>
      </c>
      <c r="C1384" s="74" t="s">
        <v>130</v>
      </c>
      <c r="D1384" s="74" t="s">
        <v>11</v>
      </c>
      <c r="E1384" s="74" t="s">
        <v>35</v>
      </c>
      <c r="F1384" s="77">
        <v>20.628422467680476</v>
      </c>
    </row>
    <row r="1385">
      <c r="A1385" s="76">
        <v>79.0</v>
      </c>
      <c r="B1385" s="74" t="s">
        <v>101</v>
      </c>
      <c r="C1385" s="74" t="s">
        <v>102</v>
      </c>
      <c r="D1385" s="74" t="s">
        <v>11</v>
      </c>
      <c r="E1385" s="74" t="s">
        <v>88</v>
      </c>
      <c r="F1385" s="80">
        <v>38.81842246768048</v>
      </c>
    </row>
    <row r="1386">
      <c r="A1386" s="76">
        <v>43.0</v>
      </c>
      <c r="B1386" s="74" t="s">
        <v>95</v>
      </c>
      <c r="C1386" s="74" t="s">
        <v>96</v>
      </c>
      <c r="D1386" s="74" t="s">
        <v>11</v>
      </c>
      <c r="E1386" s="74" t="s">
        <v>12</v>
      </c>
      <c r="F1386" s="77">
        <v>9.568422467680474</v>
      </c>
    </row>
    <row r="1387">
      <c r="A1387" s="76">
        <v>30.0</v>
      </c>
      <c r="B1387" s="74" t="s">
        <v>9</v>
      </c>
      <c r="C1387" s="74" t="s">
        <v>10</v>
      </c>
      <c r="D1387" s="74" t="s">
        <v>30</v>
      </c>
      <c r="E1387" s="74" t="s">
        <v>82</v>
      </c>
      <c r="F1387" s="80">
        <v>11.938422467680473</v>
      </c>
    </row>
    <row r="1388">
      <c r="A1388" s="76">
        <v>55.0</v>
      </c>
      <c r="B1388" s="74" t="s">
        <v>202</v>
      </c>
      <c r="C1388" s="74" t="s">
        <v>203</v>
      </c>
      <c r="D1388" s="74" t="s">
        <v>11</v>
      </c>
      <c r="E1388" s="74" t="s">
        <v>76</v>
      </c>
      <c r="F1388" s="77">
        <v>11.538422467680473</v>
      </c>
    </row>
    <row r="1389">
      <c r="A1389" s="76">
        <v>22.0</v>
      </c>
      <c r="B1389" s="74" t="s">
        <v>131</v>
      </c>
      <c r="C1389" s="74" t="s">
        <v>132</v>
      </c>
      <c r="D1389" s="74" t="s">
        <v>11</v>
      </c>
      <c r="E1389" s="74" t="s">
        <v>97</v>
      </c>
      <c r="F1389" s="80">
        <v>1.5284224676804736</v>
      </c>
    </row>
    <row r="1390">
      <c r="A1390" s="76">
        <v>9.0</v>
      </c>
      <c r="B1390" s="74" t="s">
        <v>207</v>
      </c>
      <c r="C1390" s="74" t="s">
        <v>208</v>
      </c>
      <c r="D1390" s="74" t="s">
        <v>30</v>
      </c>
      <c r="E1390" s="74" t="s">
        <v>76</v>
      </c>
      <c r="F1390" s="77">
        <v>9.948422467680473</v>
      </c>
    </row>
    <row r="1391">
      <c r="A1391" s="76">
        <v>42.0</v>
      </c>
      <c r="B1391" s="74" t="s">
        <v>92</v>
      </c>
      <c r="C1391" s="74" t="s">
        <v>170</v>
      </c>
      <c r="D1391" s="74" t="s">
        <v>11</v>
      </c>
      <c r="E1391" s="74" t="s">
        <v>76</v>
      </c>
      <c r="F1391" s="80">
        <v>11.248422467680474</v>
      </c>
    </row>
    <row r="1392">
      <c r="A1392" s="76">
        <v>32.0</v>
      </c>
      <c r="B1392" s="74" t="s">
        <v>146</v>
      </c>
      <c r="C1392" s="74" t="s">
        <v>147</v>
      </c>
      <c r="D1392" s="74" t="s">
        <v>11</v>
      </c>
      <c r="E1392" s="74" t="s">
        <v>12</v>
      </c>
      <c r="F1392" s="77">
        <v>9.098422467680473</v>
      </c>
    </row>
    <row r="1393">
      <c r="A1393" s="76">
        <v>76.0</v>
      </c>
      <c r="B1393" s="74" t="s">
        <v>213</v>
      </c>
      <c r="C1393" s="74" t="s">
        <v>214</v>
      </c>
      <c r="D1393" s="74" t="s">
        <v>11</v>
      </c>
      <c r="E1393" s="74" t="s">
        <v>35</v>
      </c>
      <c r="F1393" s="80">
        <v>12.168422467680474</v>
      </c>
    </row>
    <row r="1394">
      <c r="A1394" s="76">
        <v>40.0</v>
      </c>
      <c r="B1394" s="74" t="s">
        <v>122</v>
      </c>
      <c r="C1394" s="74" t="s">
        <v>185</v>
      </c>
      <c r="D1394" s="74" t="s">
        <v>30</v>
      </c>
      <c r="E1394" s="74" t="s">
        <v>82</v>
      </c>
      <c r="F1394" s="77">
        <v>11.778422467680473</v>
      </c>
    </row>
    <row r="1395">
      <c r="A1395" s="76">
        <v>90.0</v>
      </c>
      <c r="B1395" s="74" t="s">
        <v>219</v>
      </c>
      <c r="C1395" s="74" t="s">
        <v>220</v>
      </c>
      <c r="D1395" s="74" t="s">
        <v>30</v>
      </c>
      <c r="E1395" s="74" t="s">
        <v>68</v>
      </c>
      <c r="F1395" s="80">
        <v>8.458422467680473</v>
      </c>
    </row>
    <row r="1396">
      <c r="A1396" s="76">
        <v>58.0</v>
      </c>
      <c r="B1396" s="74" t="s">
        <v>165</v>
      </c>
      <c r="C1396" s="74" t="s">
        <v>166</v>
      </c>
      <c r="D1396" s="74" t="s">
        <v>11</v>
      </c>
      <c r="E1396" s="74" t="s">
        <v>35</v>
      </c>
      <c r="F1396" s="77">
        <v>19.288422467680476</v>
      </c>
    </row>
    <row r="1397">
      <c r="A1397" s="76">
        <v>36.0</v>
      </c>
      <c r="B1397" s="74" t="s">
        <v>92</v>
      </c>
      <c r="C1397" s="74" t="s">
        <v>93</v>
      </c>
      <c r="D1397" s="74" t="s">
        <v>30</v>
      </c>
      <c r="E1397" s="74" t="s">
        <v>60</v>
      </c>
      <c r="F1397" s="80">
        <v>57.478422467680474</v>
      </c>
    </row>
    <row r="1398">
      <c r="A1398" s="76">
        <v>54.0</v>
      </c>
      <c r="B1398" s="74" t="s">
        <v>86</v>
      </c>
      <c r="C1398" s="74" t="s">
        <v>87</v>
      </c>
      <c r="D1398" s="74" t="s">
        <v>11</v>
      </c>
      <c r="E1398" s="74" t="s">
        <v>68</v>
      </c>
      <c r="F1398" s="77">
        <v>8.228422467680472</v>
      </c>
    </row>
    <row r="1399">
      <c r="A1399" s="76">
        <v>12.0</v>
      </c>
      <c r="B1399" s="74" t="s">
        <v>188</v>
      </c>
      <c r="C1399" s="74" t="s">
        <v>189</v>
      </c>
      <c r="D1399" s="74" t="s">
        <v>11</v>
      </c>
      <c r="E1399" s="74" t="s">
        <v>52</v>
      </c>
      <c r="F1399" s="80">
        <v>50.438422467680475</v>
      </c>
    </row>
    <row r="1400">
      <c r="A1400" s="76">
        <v>5.0</v>
      </c>
      <c r="B1400" s="74" t="s">
        <v>167</v>
      </c>
      <c r="C1400" s="74" t="s">
        <v>168</v>
      </c>
      <c r="D1400" s="74" t="s">
        <v>30</v>
      </c>
      <c r="E1400" s="74" t="s">
        <v>91</v>
      </c>
      <c r="F1400" s="77">
        <v>3.2984224676804743</v>
      </c>
    </row>
    <row r="1401">
      <c r="A1401" s="76">
        <v>28.0</v>
      </c>
      <c r="B1401" s="74" t="s">
        <v>77</v>
      </c>
      <c r="C1401" s="74" t="s">
        <v>78</v>
      </c>
      <c r="D1401" s="74" t="s">
        <v>11</v>
      </c>
      <c r="E1401" s="74" t="s">
        <v>88</v>
      </c>
      <c r="F1401" s="80">
        <v>36.078422467680475</v>
      </c>
    </row>
    <row r="1402">
      <c r="A1402" s="76">
        <v>11.0</v>
      </c>
      <c r="B1402" s="74" t="s">
        <v>227</v>
      </c>
      <c r="C1402" s="74" t="s">
        <v>228</v>
      </c>
      <c r="D1402" s="74" t="s">
        <v>11</v>
      </c>
      <c r="E1402" s="74" t="s">
        <v>88</v>
      </c>
      <c r="F1402" s="77">
        <v>30.518422467680473</v>
      </c>
    </row>
    <row r="1403">
      <c r="A1403" s="76">
        <v>23.0</v>
      </c>
      <c r="B1403" s="74" t="s">
        <v>235</v>
      </c>
      <c r="C1403" s="74" t="s">
        <v>236</v>
      </c>
      <c r="D1403" s="74" t="s">
        <v>30</v>
      </c>
      <c r="E1403" s="74" t="s">
        <v>82</v>
      </c>
      <c r="F1403" s="80">
        <v>9.618422467680473</v>
      </c>
    </row>
    <row r="1404">
      <c r="A1404" s="76">
        <v>44.0</v>
      </c>
      <c r="B1404" s="74" t="s">
        <v>215</v>
      </c>
      <c r="C1404" s="74" t="s">
        <v>216</v>
      </c>
      <c r="D1404" s="74" t="s">
        <v>30</v>
      </c>
      <c r="E1404" s="74" t="s">
        <v>85</v>
      </c>
      <c r="F1404" s="77">
        <v>12.598422467680473</v>
      </c>
    </row>
    <row r="1405">
      <c r="A1405" s="76">
        <v>82.0</v>
      </c>
      <c r="B1405" s="74" t="s">
        <v>231</v>
      </c>
      <c r="C1405" s="74" t="s">
        <v>232</v>
      </c>
      <c r="D1405" s="74" t="s">
        <v>30</v>
      </c>
      <c r="E1405" s="74" t="s">
        <v>39</v>
      </c>
      <c r="F1405" s="80">
        <v>31.208422467680478</v>
      </c>
    </row>
    <row r="1406">
      <c r="A1406" s="76">
        <v>14.0</v>
      </c>
      <c r="B1406" s="74" t="s">
        <v>171</v>
      </c>
      <c r="C1406" s="74" t="s">
        <v>172</v>
      </c>
      <c r="D1406" s="74" t="s">
        <v>11</v>
      </c>
      <c r="E1406" s="74" t="s">
        <v>39</v>
      </c>
      <c r="F1406" s="77">
        <v>41.798422467680474</v>
      </c>
    </row>
    <row r="1407">
      <c r="A1407" s="76">
        <v>23.0</v>
      </c>
      <c r="B1407" s="74" t="s">
        <v>235</v>
      </c>
      <c r="C1407" s="74" t="s">
        <v>236</v>
      </c>
      <c r="D1407" s="74" t="s">
        <v>30</v>
      </c>
      <c r="E1407" s="74" t="s">
        <v>12</v>
      </c>
      <c r="F1407" s="80">
        <v>9.498422467680474</v>
      </c>
    </row>
    <row r="1408">
      <c r="A1408" s="76">
        <v>33.0</v>
      </c>
      <c r="B1408" s="74" t="s">
        <v>191</v>
      </c>
      <c r="C1408" s="74" t="s">
        <v>192</v>
      </c>
      <c r="D1408" s="74" t="s">
        <v>11</v>
      </c>
      <c r="E1408" s="74" t="s">
        <v>97</v>
      </c>
      <c r="F1408" s="77">
        <v>3.478422467680474</v>
      </c>
    </row>
    <row r="1409">
      <c r="A1409" s="76">
        <v>34.0</v>
      </c>
      <c r="B1409" s="74" t="s">
        <v>177</v>
      </c>
      <c r="C1409" s="74" t="s">
        <v>178</v>
      </c>
      <c r="D1409" s="74" t="s">
        <v>30</v>
      </c>
      <c r="E1409" s="74" t="s">
        <v>50</v>
      </c>
      <c r="F1409" s="80">
        <v>20.998422467680474</v>
      </c>
    </row>
    <row r="1410">
      <c r="A1410" s="76">
        <v>8.0</v>
      </c>
      <c r="B1410" s="74" t="s">
        <v>108</v>
      </c>
      <c r="C1410" s="74" t="s">
        <v>109</v>
      </c>
      <c r="D1410" s="74" t="s">
        <v>30</v>
      </c>
      <c r="E1410" s="74" t="s">
        <v>35</v>
      </c>
      <c r="F1410" s="77">
        <v>15.318422467680472</v>
      </c>
    </row>
    <row r="1411">
      <c r="A1411" s="76">
        <v>55.0</v>
      </c>
      <c r="B1411" s="74" t="s">
        <v>202</v>
      </c>
      <c r="C1411" s="74" t="s">
        <v>203</v>
      </c>
      <c r="D1411" s="74" t="s">
        <v>30</v>
      </c>
      <c r="E1411" s="74" t="s">
        <v>56</v>
      </c>
      <c r="F1411" s="80">
        <v>76.87842246768047</v>
      </c>
    </row>
    <row r="1412">
      <c r="A1412" s="76">
        <v>74.0</v>
      </c>
      <c r="B1412" s="74" t="s">
        <v>9</v>
      </c>
      <c r="C1412" s="74" t="s">
        <v>124</v>
      </c>
      <c r="D1412" s="74" t="s">
        <v>11</v>
      </c>
      <c r="E1412" s="74" t="s">
        <v>97</v>
      </c>
      <c r="F1412" s="77">
        <v>2.638422467680474</v>
      </c>
    </row>
    <row r="1413">
      <c r="A1413" s="76">
        <v>11.0</v>
      </c>
      <c r="B1413" s="74" t="s">
        <v>227</v>
      </c>
      <c r="C1413" s="74" t="s">
        <v>228</v>
      </c>
      <c r="D1413" s="74" t="s">
        <v>30</v>
      </c>
      <c r="E1413" s="74" t="s">
        <v>50</v>
      </c>
      <c r="F1413" s="80">
        <v>22.108422467680477</v>
      </c>
    </row>
    <row r="1414">
      <c r="A1414" s="76">
        <v>5.0</v>
      </c>
      <c r="B1414" s="74" t="s">
        <v>167</v>
      </c>
      <c r="C1414" s="74" t="s">
        <v>168</v>
      </c>
      <c r="D1414" s="74" t="s">
        <v>30</v>
      </c>
      <c r="E1414" s="74" t="s">
        <v>31</v>
      </c>
      <c r="F1414" s="77">
        <v>54.08842246768047</v>
      </c>
    </row>
    <row r="1415">
      <c r="A1415" s="76">
        <v>77.0</v>
      </c>
      <c r="B1415" s="74" t="s">
        <v>9</v>
      </c>
      <c r="C1415" s="74" t="s">
        <v>169</v>
      </c>
      <c r="D1415" s="74" t="s">
        <v>30</v>
      </c>
      <c r="E1415" s="74" t="s">
        <v>43</v>
      </c>
      <c r="F1415" s="80">
        <v>15.708422467680473</v>
      </c>
    </row>
    <row r="1416">
      <c r="A1416" s="76">
        <v>47.0</v>
      </c>
      <c r="B1416" s="74" t="s">
        <v>120</v>
      </c>
      <c r="C1416" s="74" t="s">
        <v>121</v>
      </c>
      <c r="D1416" s="74" t="s">
        <v>11</v>
      </c>
      <c r="E1416" s="74" t="s">
        <v>91</v>
      </c>
      <c r="F1416" s="77">
        <v>2.5384224676804736</v>
      </c>
    </row>
    <row r="1417">
      <c r="A1417" s="76">
        <v>99.0</v>
      </c>
      <c r="B1417" s="74" t="s">
        <v>73</v>
      </c>
      <c r="C1417" s="74" t="s">
        <v>74</v>
      </c>
      <c r="D1417" s="74" t="s">
        <v>11</v>
      </c>
      <c r="E1417" s="74" t="s">
        <v>88</v>
      </c>
      <c r="F1417" s="80">
        <v>36.27842246768048</v>
      </c>
    </row>
    <row r="1418">
      <c r="A1418" s="76">
        <v>32.0</v>
      </c>
      <c r="B1418" s="74" t="s">
        <v>146</v>
      </c>
      <c r="C1418" s="74" t="s">
        <v>147</v>
      </c>
      <c r="D1418" s="74" t="s">
        <v>30</v>
      </c>
      <c r="E1418" s="74" t="s">
        <v>43</v>
      </c>
      <c r="F1418" s="77">
        <v>14.558422467680472</v>
      </c>
    </row>
    <row r="1419">
      <c r="A1419" s="76">
        <v>53.0</v>
      </c>
      <c r="B1419" s="74" t="s">
        <v>241</v>
      </c>
      <c r="C1419" s="74" t="s">
        <v>242</v>
      </c>
      <c r="D1419" s="74" t="s">
        <v>11</v>
      </c>
      <c r="E1419" s="74" t="s">
        <v>97</v>
      </c>
      <c r="F1419" s="80">
        <v>4.348422467680474</v>
      </c>
    </row>
    <row r="1420">
      <c r="A1420" s="76">
        <v>34.0</v>
      </c>
      <c r="B1420" s="74" t="s">
        <v>177</v>
      </c>
      <c r="C1420" s="74" t="s">
        <v>178</v>
      </c>
      <c r="D1420" s="74" t="s">
        <v>30</v>
      </c>
      <c r="E1420" s="74" t="s">
        <v>39</v>
      </c>
      <c r="F1420" s="77">
        <v>38.12842246768047</v>
      </c>
    </row>
    <row r="1421">
      <c r="A1421" s="76">
        <v>7.0</v>
      </c>
      <c r="B1421" s="74" t="s">
        <v>114</v>
      </c>
      <c r="C1421" s="74" t="s">
        <v>115</v>
      </c>
      <c r="D1421" s="74" t="s">
        <v>30</v>
      </c>
      <c r="E1421" s="74" t="s">
        <v>39</v>
      </c>
      <c r="F1421" s="80">
        <v>20.838422467680473</v>
      </c>
    </row>
    <row r="1422">
      <c r="A1422" s="76">
        <v>54.0</v>
      </c>
      <c r="B1422" s="74" t="s">
        <v>86</v>
      </c>
      <c r="C1422" s="74" t="s">
        <v>87</v>
      </c>
      <c r="D1422" s="74" t="s">
        <v>30</v>
      </c>
      <c r="E1422" s="74" t="s">
        <v>68</v>
      </c>
      <c r="F1422" s="77">
        <v>13.378422467680473</v>
      </c>
    </row>
    <row r="1423">
      <c r="A1423" s="76">
        <v>43.0</v>
      </c>
      <c r="B1423" s="74" t="s">
        <v>95</v>
      </c>
      <c r="C1423" s="74" t="s">
        <v>96</v>
      </c>
      <c r="D1423" s="74" t="s">
        <v>11</v>
      </c>
      <c r="E1423" s="74" t="s">
        <v>97</v>
      </c>
      <c r="F1423" s="80">
        <v>1.7684224676804738</v>
      </c>
    </row>
    <row r="1424">
      <c r="A1424" s="76">
        <v>84.0</v>
      </c>
      <c r="B1424" s="74" t="s">
        <v>141</v>
      </c>
      <c r="C1424" s="74" t="s">
        <v>142</v>
      </c>
      <c r="D1424" s="74" t="s">
        <v>30</v>
      </c>
      <c r="E1424" s="74" t="s">
        <v>97</v>
      </c>
      <c r="F1424" s="77">
        <v>4.238422467680474</v>
      </c>
    </row>
    <row r="1425">
      <c r="A1425" s="76">
        <v>69.0</v>
      </c>
      <c r="B1425" s="74" t="s">
        <v>108</v>
      </c>
      <c r="C1425" s="74" t="s">
        <v>145</v>
      </c>
      <c r="D1425" s="74" t="s">
        <v>30</v>
      </c>
      <c r="E1425" s="74" t="s">
        <v>79</v>
      </c>
      <c r="F1425" s="80">
        <v>33.548422467680474</v>
      </c>
    </row>
    <row r="1426">
      <c r="A1426" s="76">
        <v>31.0</v>
      </c>
      <c r="B1426" s="74" t="s">
        <v>229</v>
      </c>
      <c r="C1426" s="74" t="s">
        <v>230</v>
      </c>
      <c r="D1426" s="74" t="s">
        <v>30</v>
      </c>
      <c r="E1426" s="74" t="s">
        <v>52</v>
      </c>
      <c r="F1426" s="77">
        <v>46.66842246768047</v>
      </c>
    </row>
    <row r="1427">
      <c r="A1427" s="76">
        <v>3.0</v>
      </c>
      <c r="B1427" s="74" t="s">
        <v>80</v>
      </c>
      <c r="C1427" s="74" t="s">
        <v>81</v>
      </c>
      <c r="D1427" s="74" t="s">
        <v>30</v>
      </c>
      <c r="E1427" s="74" t="s">
        <v>88</v>
      </c>
      <c r="F1427" s="80">
        <v>33.408422467680474</v>
      </c>
    </row>
    <row r="1428">
      <c r="A1428" s="76">
        <v>78.0</v>
      </c>
      <c r="B1428" s="74" t="s">
        <v>28</v>
      </c>
      <c r="C1428" s="74" t="s">
        <v>29</v>
      </c>
      <c r="D1428" s="74" t="s">
        <v>11</v>
      </c>
      <c r="E1428" s="74" t="s">
        <v>85</v>
      </c>
      <c r="F1428" s="77">
        <v>10.718422467680472</v>
      </c>
    </row>
    <row r="1429">
      <c r="A1429" s="76">
        <v>29.0</v>
      </c>
      <c r="B1429" s="74" t="s">
        <v>122</v>
      </c>
      <c r="C1429" s="74" t="s">
        <v>123</v>
      </c>
      <c r="D1429" s="74" t="s">
        <v>11</v>
      </c>
      <c r="E1429" s="74" t="s">
        <v>39</v>
      </c>
      <c r="F1429" s="80">
        <v>40.38842246768048</v>
      </c>
    </row>
    <row r="1430">
      <c r="A1430" s="76">
        <v>51.0</v>
      </c>
      <c r="B1430" s="74" t="s">
        <v>233</v>
      </c>
      <c r="C1430" s="74" t="s">
        <v>234</v>
      </c>
      <c r="D1430" s="74" t="s">
        <v>30</v>
      </c>
      <c r="E1430" s="74" t="s">
        <v>85</v>
      </c>
      <c r="F1430" s="77">
        <v>12.788422467680473</v>
      </c>
    </row>
    <row r="1431">
      <c r="A1431" s="76">
        <v>71.0</v>
      </c>
      <c r="B1431" s="74" t="s">
        <v>150</v>
      </c>
      <c r="C1431" s="74" t="s">
        <v>151</v>
      </c>
      <c r="D1431" s="74" t="s">
        <v>11</v>
      </c>
      <c r="E1431" s="74" t="s">
        <v>97</v>
      </c>
      <c r="F1431" s="80">
        <v>3.2484224676804736</v>
      </c>
    </row>
    <row r="1432">
      <c r="A1432" s="76">
        <v>53.0</v>
      </c>
      <c r="B1432" s="74" t="s">
        <v>241</v>
      </c>
      <c r="C1432" s="74" t="s">
        <v>242</v>
      </c>
      <c r="D1432" s="74" t="s">
        <v>11</v>
      </c>
      <c r="E1432" s="74" t="s">
        <v>43</v>
      </c>
      <c r="F1432" s="77">
        <v>14.518422467680473</v>
      </c>
    </row>
    <row r="1433">
      <c r="A1433" s="76">
        <v>17.0</v>
      </c>
      <c r="B1433" s="74" t="s">
        <v>200</v>
      </c>
      <c r="C1433" s="74" t="s">
        <v>201</v>
      </c>
      <c r="D1433" s="74" t="s">
        <v>11</v>
      </c>
      <c r="E1433" s="74" t="s">
        <v>56</v>
      </c>
      <c r="F1433" s="80">
        <v>75.22842246768047</v>
      </c>
    </row>
    <row r="1434">
      <c r="A1434" s="76">
        <v>68.0</v>
      </c>
      <c r="B1434" s="74" t="s">
        <v>41</v>
      </c>
      <c r="C1434" s="74" t="s">
        <v>42</v>
      </c>
      <c r="D1434" s="74" t="s">
        <v>11</v>
      </c>
      <c r="E1434" s="74" t="s">
        <v>35</v>
      </c>
      <c r="F1434" s="77">
        <v>13.838422467680473</v>
      </c>
    </row>
    <row r="1435">
      <c r="A1435" s="76">
        <v>98.0</v>
      </c>
      <c r="B1435" s="74" t="s">
        <v>159</v>
      </c>
      <c r="C1435" s="74" t="s">
        <v>196</v>
      </c>
      <c r="D1435" s="74" t="s">
        <v>30</v>
      </c>
      <c r="E1435" s="74" t="s">
        <v>91</v>
      </c>
      <c r="F1435" s="80">
        <v>1.4584224676804738</v>
      </c>
    </row>
    <row r="1436">
      <c r="A1436" s="76">
        <v>75.0</v>
      </c>
      <c r="B1436" s="74" t="s">
        <v>238</v>
      </c>
      <c r="C1436" s="74" t="s">
        <v>239</v>
      </c>
      <c r="D1436" s="74" t="s">
        <v>11</v>
      </c>
      <c r="E1436" s="74" t="s">
        <v>88</v>
      </c>
      <c r="F1436" s="77">
        <v>34.70842246768048</v>
      </c>
    </row>
    <row r="1437">
      <c r="A1437" s="76">
        <v>16.0</v>
      </c>
      <c r="B1437" s="74" t="s">
        <v>175</v>
      </c>
      <c r="C1437" s="74" t="s">
        <v>176</v>
      </c>
      <c r="D1437" s="74" t="s">
        <v>30</v>
      </c>
      <c r="E1437" s="74" t="s">
        <v>82</v>
      </c>
      <c r="F1437" s="80">
        <v>13.658422467680474</v>
      </c>
    </row>
    <row r="1438">
      <c r="A1438" s="76">
        <v>90.0</v>
      </c>
      <c r="B1438" s="74" t="s">
        <v>219</v>
      </c>
      <c r="C1438" s="74" t="s">
        <v>220</v>
      </c>
      <c r="D1438" s="74" t="s">
        <v>11</v>
      </c>
      <c r="E1438" s="74" t="s">
        <v>68</v>
      </c>
      <c r="F1438" s="77">
        <v>9.318422467680474</v>
      </c>
    </row>
    <row r="1439">
      <c r="A1439" s="76">
        <v>12.0</v>
      </c>
      <c r="B1439" s="74" t="s">
        <v>188</v>
      </c>
      <c r="C1439" s="74" t="s">
        <v>189</v>
      </c>
      <c r="D1439" s="74" t="s">
        <v>11</v>
      </c>
      <c r="E1439" s="74" t="s">
        <v>60</v>
      </c>
      <c r="F1439" s="80">
        <v>55.85842246768048</v>
      </c>
    </row>
    <row r="1440">
      <c r="A1440" s="76">
        <v>59.0</v>
      </c>
      <c r="B1440" s="74" t="s">
        <v>103</v>
      </c>
      <c r="C1440" s="74" t="s">
        <v>104</v>
      </c>
      <c r="D1440" s="74" t="s">
        <v>30</v>
      </c>
      <c r="E1440" s="74" t="s">
        <v>91</v>
      </c>
      <c r="F1440" s="77">
        <v>0.3684224676804737</v>
      </c>
    </row>
    <row r="1441">
      <c r="A1441" s="76">
        <v>90.0</v>
      </c>
      <c r="B1441" s="74" t="s">
        <v>219</v>
      </c>
      <c r="C1441" s="74" t="s">
        <v>220</v>
      </c>
      <c r="D1441" s="74" t="s">
        <v>11</v>
      </c>
      <c r="E1441" s="74" t="s">
        <v>88</v>
      </c>
      <c r="F1441" s="80">
        <v>32.618422467680475</v>
      </c>
    </row>
    <row r="1442">
      <c r="A1442" s="76">
        <v>42.0</v>
      </c>
      <c r="B1442" s="74" t="s">
        <v>92</v>
      </c>
      <c r="C1442" s="74" t="s">
        <v>170</v>
      </c>
      <c r="D1442" s="74" t="s">
        <v>30</v>
      </c>
      <c r="E1442" s="74" t="s">
        <v>88</v>
      </c>
      <c r="F1442" s="77">
        <v>35.758422467680475</v>
      </c>
    </row>
    <row r="1443">
      <c r="A1443" s="76">
        <v>61.0</v>
      </c>
      <c r="B1443" s="74" t="s">
        <v>106</v>
      </c>
      <c r="C1443" s="74" t="s">
        <v>107</v>
      </c>
      <c r="D1443" s="74" t="s">
        <v>11</v>
      </c>
      <c r="E1443" s="74" t="s">
        <v>46</v>
      </c>
      <c r="F1443" s="80">
        <v>11.478422467680472</v>
      </c>
    </row>
    <row r="1444">
      <c r="A1444" s="76">
        <v>82.0</v>
      </c>
      <c r="B1444" s="74" t="s">
        <v>231</v>
      </c>
      <c r="C1444" s="74" t="s">
        <v>232</v>
      </c>
      <c r="D1444" s="74" t="s">
        <v>30</v>
      </c>
      <c r="E1444" s="74" t="s">
        <v>43</v>
      </c>
      <c r="F1444" s="77">
        <v>16.948422467680476</v>
      </c>
    </row>
    <row r="1445">
      <c r="A1445" s="76">
        <v>41.0</v>
      </c>
      <c r="B1445" s="74" t="s">
        <v>217</v>
      </c>
      <c r="C1445" s="74" t="s">
        <v>218</v>
      </c>
      <c r="D1445" s="74" t="s">
        <v>30</v>
      </c>
      <c r="E1445" s="74" t="s">
        <v>88</v>
      </c>
      <c r="F1445" s="80">
        <v>32.478422467680474</v>
      </c>
    </row>
    <row r="1446">
      <c r="A1446" s="76">
        <v>32.0</v>
      </c>
      <c r="B1446" s="74" t="s">
        <v>146</v>
      </c>
      <c r="C1446" s="74" t="s">
        <v>147</v>
      </c>
      <c r="D1446" s="74" t="s">
        <v>11</v>
      </c>
      <c r="E1446" s="74" t="s">
        <v>68</v>
      </c>
      <c r="F1446" s="77">
        <v>15.428422467680472</v>
      </c>
    </row>
    <row r="1447">
      <c r="A1447" s="76">
        <v>98.0</v>
      </c>
      <c r="B1447" s="74" t="s">
        <v>159</v>
      </c>
      <c r="C1447" s="74" t="s">
        <v>196</v>
      </c>
      <c r="D1447" s="74" t="s">
        <v>30</v>
      </c>
      <c r="E1447" s="74" t="s">
        <v>88</v>
      </c>
      <c r="F1447" s="80">
        <v>33.718422467680476</v>
      </c>
    </row>
    <row r="1448">
      <c r="A1448" s="76">
        <v>50.0</v>
      </c>
      <c r="B1448" s="74" t="s">
        <v>33</v>
      </c>
      <c r="C1448" s="74" t="s">
        <v>34</v>
      </c>
      <c r="D1448" s="74" t="s">
        <v>11</v>
      </c>
      <c r="E1448" s="74" t="s">
        <v>52</v>
      </c>
      <c r="F1448" s="77">
        <v>46.078422467680475</v>
      </c>
    </row>
    <row r="1449">
      <c r="A1449" s="76">
        <v>95.0</v>
      </c>
      <c r="B1449" s="74" t="s">
        <v>110</v>
      </c>
      <c r="C1449" s="74" t="s">
        <v>111</v>
      </c>
      <c r="D1449" s="74" t="s">
        <v>11</v>
      </c>
      <c r="E1449" s="74" t="s">
        <v>94</v>
      </c>
      <c r="F1449" s="80">
        <v>30.278422467680475</v>
      </c>
    </row>
    <row r="1450">
      <c r="A1450" s="76">
        <v>40.0</v>
      </c>
      <c r="B1450" s="74" t="s">
        <v>122</v>
      </c>
      <c r="C1450" s="74" t="s">
        <v>185</v>
      </c>
      <c r="D1450" s="74" t="s">
        <v>30</v>
      </c>
      <c r="E1450" s="74" t="s">
        <v>85</v>
      </c>
      <c r="F1450" s="77">
        <v>12.608422467680473</v>
      </c>
    </row>
    <row r="1451">
      <c r="A1451" s="76">
        <v>73.0</v>
      </c>
      <c r="B1451" s="74" t="s">
        <v>223</v>
      </c>
      <c r="C1451" s="74" t="s">
        <v>224</v>
      </c>
      <c r="D1451" s="74" t="s">
        <v>30</v>
      </c>
      <c r="E1451" s="74" t="s">
        <v>39</v>
      </c>
      <c r="F1451" s="80">
        <v>21.528422467680475</v>
      </c>
    </row>
    <row r="1452">
      <c r="A1452" s="76">
        <v>71.0</v>
      </c>
      <c r="B1452" s="74" t="s">
        <v>150</v>
      </c>
      <c r="C1452" s="74" t="s">
        <v>151</v>
      </c>
      <c r="D1452" s="74" t="s">
        <v>30</v>
      </c>
      <c r="E1452" s="74" t="s">
        <v>39</v>
      </c>
      <c r="F1452" s="77">
        <v>27.748422467680474</v>
      </c>
    </row>
    <row r="1453">
      <c r="A1453" s="76">
        <v>67.0</v>
      </c>
      <c r="B1453" s="74" t="s">
        <v>204</v>
      </c>
      <c r="C1453" s="74" t="s">
        <v>205</v>
      </c>
      <c r="D1453" s="74" t="s">
        <v>30</v>
      </c>
      <c r="E1453" s="74" t="s">
        <v>35</v>
      </c>
      <c r="F1453" s="80">
        <v>14.598422467680473</v>
      </c>
    </row>
    <row r="1454">
      <c r="A1454" s="76">
        <v>84.0</v>
      </c>
      <c r="B1454" s="74" t="s">
        <v>141</v>
      </c>
      <c r="C1454" s="74" t="s">
        <v>142</v>
      </c>
      <c r="D1454" s="74" t="s">
        <v>11</v>
      </c>
      <c r="E1454" s="74" t="s">
        <v>46</v>
      </c>
      <c r="F1454" s="77">
        <v>11.288422467680473</v>
      </c>
    </row>
    <row r="1455">
      <c r="A1455" s="76">
        <v>93.0</v>
      </c>
      <c r="B1455" s="74" t="s">
        <v>129</v>
      </c>
      <c r="C1455" s="74" t="s">
        <v>130</v>
      </c>
      <c r="D1455" s="74" t="s">
        <v>11</v>
      </c>
      <c r="E1455" s="74" t="s">
        <v>35</v>
      </c>
      <c r="F1455" s="80">
        <v>16.878422467680476</v>
      </c>
    </row>
    <row r="1456">
      <c r="A1456" s="76">
        <v>17.0</v>
      </c>
      <c r="B1456" s="74" t="s">
        <v>200</v>
      </c>
      <c r="C1456" s="74" t="s">
        <v>201</v>
      </c>
      <c r="D1456" s="74" t="s">
        <v>11</v>
      </c>
      <c r="E1456" s="74" t="s">
        <v>97</v>
      </c>
      <c r="F1456" s="77">
        <v>0.9884224676804736</v>
      </c>
    </row>
    <row r="1457">
      <c r="A1457" s="76">
        <v>1.0</v>
      </c>
      <c r="B1457" s="74" t="s">
        <v>194</v>
      </c>
      <c r="C1457" s="74" t="s">
        <v>195</v>
      </c>
      <c r="D1457" s="74" t="s">
        <v>30</v>
      </c>
      <c r="E1457" s="74" t="s">
        <v>82</v>
      </c>
      <c r="F1457" s="80">
        <v>14.098422467680473</v>
      </c>
    </row>
    <row r="1458">
      <c r="A1458" s="76">
        <v>1.0</v>
      </c>
      <c r="B1458" s="74" t="s">
        <v>194</v>
      </c>
      <c r="C1458" s="74" t="s">
        <v>195</v>
      </c>
      <c r="D1458" s="74" t="s">
        <v>30</v>
      </c>
      <c r="E1458" s="74" t="s">
        <v>43</v>
      </c>
      <c r="F1458" s="77">
        <v>17.238422467680476</v>
      </c>
    </row>
    <row r="1459">
      <c r="A1459" s="76">
        <v>77.0</v>
      </c>
      <c r="B1459" s="74" t="s">
        <v>9</v>
      </c>
      <c r="C1459" s="74" t="s">
        <v>169</v>
      </c>
      <c r="D1459" s="74" t="s">
        <v>30</v>
      </c>
      <c r="E1459" s="74" t="s">
        <v>39</v>
      </c>
      <c r="F1459" s="80">
        <v>21.268422467680473</v>
      </c>
    </row>
    <row r="1460">
      <c r="A1460" s="76">
        <v>35.0</v>
      </c>
      <c r="B1460" s="74" t="s">
        <v>125</v>
      </c>
      <c r="C1460" s="74" t="s">
        <v>126</v>
      </c>
      <c r="D1460" s="74" t="s">
        <v>11</v>
      </c>
      <c r="E1460" s="74" t="s">
        <v>56</v>
      </c>
      <c r="F1460" s="77">
        <v>72.09842246768046</v>
      </c>
    </row>
    <row r="1461">
      <c r="A1461" s="76">
        <v>81.0</v>
      </c>
      <c r="B1461" s="74" t="s">
        <v>54</v>
      </c>
      <c r="C1461" s="74" t="s">
        <v>55</v>
      </c>
      <c r="D1461" s="74" t="s">
        <v>30</v>
      </c>
      <c r="E1461" s="74" t="s">
        <v>79</v>
      </c>
      <c r="F1461" s="80">
        <v>35.77842246768048</v>
      </c>
    </row>
    <row r="1462">
      <c r="A1462" s="76">
        <v>48.0</v>
      </c>
      <c r="B1462" s="74" t="s">
        <v>41</v>
      </c>
      <c r="C1462" s="74" t="s">
        <v>45</v>
      </c>
      <c r="D1462" s="74" t="s">
        <v>11</v>
      </c>
      <c r="E1462" s="74" t="s">
        <v>46</v>
      </c>
      <c r="F1462" s="77">
        <v>11.068422467680474</v>
      </c>
    </row>
    <row r="1463">
      <c r="A1463" s="76">
        <v>68.0</v>
      </c>
      <c r="B1463" s="74" t="s">
        <v>41</v>
      </c>
      <c r="C1463" s="74" t="s">
        <v>42</v>
      </c>
      <c r="D1463" s="74" t="s">
        <v>11</v>
      </c>
      <c r="E1463" s="74" t="s">
        <v>50</v>
      </c>
      <c r="F1463" s="80">
        <v>28.358422467680477</v>
      </c>
    </row>
    <row r="1464">
      <c r="A1464" s="76">
        <v>22.0</v>
      </c>
      <c r="B1464" s="74" t="s">
        <v>131</v>
      </c>
      <c r="C1464" s="74" t="s">
        <v>132</v>
      </c>
      <c r="D1464" s="74" t="s">
        <v>30</v>
      </c>
      <c r="E1464" s="74" t="s">
        <v>79</v>
      </c>
      <c r="F1464" s="77">
        <v>29.878422467680476</v>
      </c>
    </row>
    <row r="1465">
      <c r="A1465" s="76">
        <v>6.0</v>
      </c>
      <c r="B1465" s="74" t="s">
        <v>183</v>
      </c>
      <c r="C1465" s="74" t="s">
        <v>184</v>
      </c>
      <c r="D1465" s="74" t="s">
        <v>11</v>
      </c>
      <c r="E1465" s="74" t="s">
        <v>91</v>
      </c>
      <c r="F1465" s="80">
        <v>0.7184224676804738</v>
      </c>
    </row>
    <row r="1466">
      <c r="A1466" s="76">
        <v>75.0</v>
      </c>
      <c r="B1466" s="74" t="s">
        <v>238</v>
      </c>
      <c r="C1466" s="74" t="s">
        <v>239</v>
      </c>
      <c r="D1466" s="74" t="s">
        <v>30</v>
      </c>
      <c r="E1466" s="74" t="s">
        <v>52</v>
      </c>
      <c r="F1466" s="77">
        <v>52.59842246768047</v>
      </c>
    </row>
    <row r="1467">
      <c r="A1467" s="76">
        <v>3.0</v>
      </c>
      <c r="B1467" s="74" t="s">
        <v>80</v>
      </c>
      <c r="C1467" s="74" t="s">
        <v>81</v>
      </c>
      <c r="D1467" s="74" t="s">
        <v>30</v>
      </c>
      <c r="E1467" s="74" t="s">
        <v>50</v>
      </c>
      <c r="F1467" s="80">
        <v>27.618422467680475</v>
      </c>
    </row>
    <row r="1468">
      <c r="A1468" s="76">
        <v>87.0</v>
      </c>
      <c r="B1468" s="74" t="s">
        <v>243</v>
      </c>
      <c r="C1468" s="74" t="s">
        <v>244</v>
      </c>
      <c r="D1468" s="74" t="s">
        <v>30</v>
      </c>
      <c r="E1468" s="74" t="s">
        <v>46</v>
      </c>
      <c r="F1468" s="77">
        <v>13.748422467680474</v>
      </c>
    </row>
    <row r="1469">
      <c r="A1469" s="76">
        <v>81.0</v>
      </c>
      <c r="B1469" s="74" t="s">
        <v>54</v>
      </c>
      <c r="C1469" s="74" t="s">
        <v>55</v>
      </c>
      <c r="D1469" s="74" t="s">
        <v>30</v>
      </c>
      <c r="E1469" s="74" t="s">
        <v>94</v>
      </c>
      <c r="F1469" s="80">
        <v>27.538422467680476</v>
      </c>
    </row>
    <row r="1470">
      <c r="A1470" s="76">
        <v>94.0</v>
      </c>
      <c r="B1470" s="74" t="s">
        <v>207</v>
      </c>
      <c r="C1470" s="74" t="s">
        <v>237</v>
      </c>
      <c r="D1470" s="74" t="s">
        <v>11</v>
      </c>
      <c r="E1470" s="74" t="s">
        <v>88</v>
      </c>
      <c r="F1470" s="77">
        <v>39.758422467680475</v>
      </c>
    </row>
    <row r="1471">
      <c r="A1471" s="76">
        <v>68.0</v>
      </c>
      <c r="B1471" s="74" t="s">
        <v>41</v>
      </c>
      <c r="C1471" s="74" t="s">
        <v>42</v>
      </c>
      <c r="D1471" s="74" t="s">
        <v>30</v>
      </c>
      <c r="E1471" s="74" t="s">
        <v>88</v>
      </c>
      <c r="F1471" s="80">
        <v>38.35842246768048</v>
      </c>
    </row>
    <row r="1472">
      <c r="A1472" s="76">
        <v>99.0</v>
      </c>
      <c r="B1472" s="74" t="s">
        <v>73</v>
      </c>
      <c r="C1472" s="74" t="s">
        <v>74</v>
      </c>
      <c r="D1472" s="74" t="s">
        <v>30</v>
      </c>
      <c r="E1472" s="74" t="s">
        <v>91</v>
      </c>
      <c r="F1472" s="77">
        <v>2.3384224676804735</v>
      </c>
    </row>
    <row r="1473">
      <c r="A1473" s="76">
        <v>74.0</v>
      </c>
      <c r="B1473" s="74" t="s">
        <v>9</v>
      </c>
      <c r="C1473" s="74" t="s">
        <v>124</v>
      </c>
      <c r="D1473" s="74" t="s">
        <v>11</v>
      </c>
      <c r="E1473" s="74" t="s">
        <v>97</v>
      </c>
      <c r="F1473" s="80">
        <v>3.528422467680474</v>
      </c>
    </row>
    <row r="1474">
      <c r="A1474" s="76">
        <v>7.0</v>
      </c>
      <c r="B1474" s="74" t="s">
        <v>114</v>
      </c>
      <c r="C1474" s="74" t="s">
        <v>115</v>
      </c>
      <c r="D1474" s="74" t="s">
        <v>30</v>
      </c>
      <c r="E1474" s="74" t="s">
        <v>91</v>
      </c>
      <c r="F1474" s="77">
        <v>2.8284224676804737</v>
      </c>
    </row>
    <row r="1475">
      <c r="A1475" s="76">
        <v>48.0</v>
      </c>
      <c r="B1475" s="74" t="s">
        <v>41</v>
      </c>
      <c r="C1475" s="74" t="s">
        <v>45</v>
      </c>
      <c r="D1475" s="74" t="s">
        <v>30</v>
      </c>
      <c r="E1475" s="74" t="s">
        <v>79</v>
      </c>
      <c r="F1475" s="80">
        <v>32.44842246768047</v>
      </c>
    </row>
    <row r="1476">
      <c r="A1476" s="76">
        <v>94.0</v>
      </c>
      <c r="B1476" s="74" t="s">
        <v>207</v>
      </c>
      <c r="C1476" s="74" t="s">
        <v>237</v>
      </c>
      <c r="D1476" s="74" t="s">
        <v>30</v>
      </c>
      <c r="E1476" s="74" t="s">
        <v>31</v>
      </c>
      <c r="F1476" s="77">
        <v>54.34842246768047</v>
      </c>
    </row>
    <row r="1477">
      <c r="A1477" s="76">
        <v>72.0</v>
      </c>
      <c r="B1477" s="74" t="s">
        <v>133</v>
      </c>
      <c r="C1477" s="74" t="s">
        <v>134</v>
      </c>
      <c r="D1477" s="74" t="s">
        <v>30</v>
      </c>
      <c r="E1477" s="74" t="s">
        <v>68</v>
      </c>
      <c r="F1477" s="80">
        <v>16.178422467680473</v>
      </c>
    </row>
    <row r="1478">
      <c r="A1478" s="76">
        <v>52.0</v>
      </c>
      <c r="B1478" s="74" t="s">
        <v>181</v>
      </c>
      <c r="C1478" s="74" t="s">
        <v>182</v>
      </c>
      <c r="D1478" s="74" t="s">
        <v>11</v>
      </c>
      <c r="E1478" s="74" t="s">
        <v>39</v>
      </c>
      <c r="F1478" s="77">
        <v>41.13842246768048</v>
      </c>
    </row>
    <row r="1479">
      <c r="A1479" s="76">
        <v>36.0</v>
      </c>
      <c r="B1479" s="74" t="s">
        <v>92</v>
      </c>
      <c r="C1479" s="74" t="s">
        <v>93</v>
      </c>
      <c r="D1479" s="74" t="s">
        <v>11</v>
      </c>
      <c r="E1479" s="74" t="s">
        <v>39</v>
      </c>
      <c r="F1479" s="80">
        <v>31.838422467680473</v>
      </c>
    </row>
    <row r="1480">
      <c r="A1480" s="76">
        <v>7.0</v>
      </c>
      <c r="B1480" s="74" t="s">
        <v>114</v>
      </c>
      <c r="C1480" s="74" t="s">
        <v>115</v>
      </c>
      <c r="D1480" s="74" t="s">
        <v>11</v>
      </c>
      <c r="E1480" s="74" t="s">
        <v>88</v>
      </c>
      <c r="F1480" s="77">
        <v>37.77842246768048</v>
      </c>
    </row>
    <row r="1481">
      <c r="A1481" s="76">
        <v>48.0</v>
      </c>
      <c r="B1481" s="74" t="s">
        <v>41</v>
      </c>
      <c r="C1481" s="74" t="s">
        <v>45</v>
      </c>
      <c r="D1481" s="74" t="s">
        <v>30</v>
      </c>
      <c r="E1481" s="74" t="s">
        <v>60</v>
      </c>
      <c r="F1481" s="80">
        <v>39.148422467680476</v>
      </c>
    </row>
    <row r="1482">
      <c r="A1482" s="76">
        <v>96.0</v>
      </c>
      <c r="B1482" s="74" t="s">
        <v>163</v>
      </c>
      <c r="C1482" s="74" t="s">
        <v>164</v>
      </c>
      <c r="D1482" s="74" t="s">
        <v>11</v>
      </c>
      <c r="E1482" s="74" t="s">
        <v>85</v>
      </c>
      <c r="F1482" s="77">
        <v>15.888422467680472</v>
      </c>
    </row>
    <row r="1483">
      <c r="A1483" s="76">
        <v>59.0</v>
      </c>
      <c r="B1483" s="74" t="s">
        <v>103</v>
      </c>
      <c r="C1483" s="74" t="s">
        <v>104</v>
      </c>
      <c r="D1483" s="74" t="s">
        <v>30</v>
      </c>
      <c r="E1483" s="74" t="s">
        <v>50</v>
      </c>
      <c r="F1483" s="80">
        <v>27.808422467680476</v>
      </c>
    </row>
    <row r="1484">
      <c r="A1484" s="76">
        <v>48.0</v>
      </c>
      <c r="B1484" s="74" t="s">
        <v>41</v>
      </c>
      <c r="C1484" s="74" t="s">
        <v>45</v>
      </c>
      <c r="D1484" s="74" t="s">
        <v>30</v>
      </c>
      <c r="E1484" s="74" t="s">
        <v>60</v>
      </c>
      <c r="F1484" s="77">
        <v>55.73842246768047</v>
      </c>
    </row>
    <row r="1485">
      <c r="A1485" s="76">
        <v>95.0</v>
      </c>
      <c r="B1485" s="74" t="s">
        <v>110</v>
      </c>
      <c r="C1485" s="74" t="s">
        <v>111</v>
      </c>
      <c r="D1485" s="74" t="s">
        <v>11</v>
      </c>
      <c r="E1485" s="74" t="s">
        <v>12</v>
      </c>
      <c r="F1485" s="80">
        <v>9.268422467680473</v>
      </c>
    </row>
    <row r="1486">
      <c r="A1486" s="76">
        <v>75.0</v>
      </c>
      <c r="B1486" s="74" t="s">
        <v>238</v>
      </c>
      <c r="C1486" s="74" t="s">
        <v>239</v>
      </c>
      <c r="D1486" s="74" t="s">
        <v>11</v>
      </c>
      <c r="E1486" s="74" t="s">
        <v>68</v>
      </c>
      <c r="F1486" s="77">
        <v>18.778422467680475</v>
      </c>
    </row>
    <row r="1487">
      <c r="A1487" s="76">
        <v>36.0</v>
      </c>
      <c r="B1487" s="74" t="s">
        <v>92</v>
      </c>
      <c r="C1487" s="74" t="s">
        <v>93</v>
      </c>
      <c r="D1487" s="74" t="s">
        <v>30</v>
      </c>
      <c r="E1487" s="74" t="s">
        <v>94</v>
      </c>
      <c r="F1487" s="80">
        <v>28.378422467680476</v>
      </c>
    </row>
    <row r="1488">
      <c r="A1488" s="76">
        <v>54.0</v>
      </c>
      <c r="B1488" s="74" t="s">
        <v>86</v>
      </c>
      <c r="C1488" s="74" t="s">
        <v>87</v>
      </c>
      <c r="D1488" s="74" t="s">
        <v>11</v>
      </c>
      <c r="E1488" s="74" t="s">
        <v>91</v>
      </c>
      <c r="F1488" s="77">
        <v>2.348422467680474</v>
      </c>
    </row>
    <row r="1489">
      <c r="A1489" s="76">
        <v>78.0</v>
      </c>
      <c r="B1489" s="74" t="s">
        <v>28</v>
      </c>
      <c r="C1489" s="74" t="s">
        <v>29</v>
      </c>
      <c r="D1489" s="74" t="s">
        <v>30</v>
      </c>
      <c r="E1489" s="74" t="s">
        <v>56</v>
      </c>
      <c r="F1489" s="80">
        <v>58.33842246768047</v>
      </c>
    </row>
    <row r="1490">
      <c r="A1490" s="76">
        <v>55.0</v>
      </c>
      <c r="B1490" s="74" t="s">
        <v>202</v>
      </c>
      <c r="C1490" s="74" t="s">
        <v>203</v>
      </c>
      <c r="D1490" s="74" t="s">
        <v>11</v>
      </c>
      <c r="E1490" s="74" t="s">
        <v>46</v>
      </c>
      <c r="F1490" s="77">
        <v>12.148422467680474</v>
      </c>
    </row>
    <row r="1491">
      <c r="A1491" s="76">
        <v>91.0</v>
      </c>
      <c r="B1491" s="74" t="s">
        <v>112</v>
      </c>
      <c r="C1491" s="74" t="s">
        <v>113</v>
      </c>
      <c r="D1491" s="74" t="s">
        <v>11</v>
      </c>
      <c r="E1491" s="74" t="s">
        <v>50</v>
      </c>
      <c r="F1491" s="80">
        <v>30.558422467680476</v>
      </c>
    </row>
    <row r="1492">
      <c r="A1492" s="76">
        <v>42.0</v>
      </c>
      <c r="B1492" s="74" t="s">
        <v>92</v>
      </c>
      <c r="C1492" s="74" t="s">
        <v>170</v>
      </c>
      <c r="D1492" s="74" t="s">
        <v>11</v>
      </c>
      <c r="E1492" s="74" t="s">
        <v>56</v>
      </c>
      <c r="F1492" s="77">
        <v>59.76842246768047</v>
      </c>
    </row>
    <row r="1493">
      <c r="A1493" s="76">
        <v>2.0</v>
      </c>
      <c r="B1493" s="74" t="s">
        <v>83</v>
      </c>
      <c r="C1493" s="74" t="s">
        <v>84</v>
      </c>
      <c r="D1493" s="74" t="s">
        <v>11</v>
      </c>
      <c r="E1493" s="74" t="s">
        <v>56</v>
      </c>
      <c r="F1493" s="80">
        <v>62.12842246768047</v>
      </c>
    </row>
    <row r="1494">
      <c r="A1494" s="76">
        <v>65.0</v>
      </c>
      <c r="B1494" s="74" t="s">
        <v>209</v>
      </c>
      <c r="C1494" s="74" t="s">
        <v>210</v>
      </c>
      <c r="D1494" s="74" t="s">
        <v>30</v>
      </c>
      <c r="E1494" s="74" t="s">
        <v>60</v>
      </c>
      <c r="F1494" s="77">
        <v>41.12842246768047</v>
      </c>
    </row>
    <row r="1495">
      <c r="A1495" s="76">
        <v>95.0</v>
      </c>
      <c r="B1495" s="74" t="s">
        <v>110</v>
      </c>
      <c r="C1495" s="74" t="s">
        <v>111</v>
      </c>
      <c r="D1495" s="74" t="s">
        <v>11</v>
      </c>
      <c r="E1495" s="74" t="s">
        <v>76</v>
      </c>
      <c r="F1495" s="80">
        <v>10.028422467680473</v>
      </c>
    </row>
    <row r="1496">
      <c r="A1496" s="76">
        <v>100.0</v>
      </c>
      <c r="B1496" s="74" t="s">
        <v>48</v>
      </c>
      <c r="C1496" s="74" t="s">
        <v>49</v>
      </c>
      <c r="D1496" s="74" t="s">
        <v>11</v>
      </c>
      <c r="E1496" s="74" t="s">
        <v>79</v>
      </c>
      <c r="F1496" s="77">
        <v>35.62842246768047</v>
      </c>
    </row>
    <row r="1497">
      <c r="A1497" s="76">
        <v>98.0</v>
      </c>
      <c r="B1497" s="74" t="s">
        <v>159</v>
      </c>
      <c r="C1497" s="74" t="s">
        <v>196</v>
      </c>
      <c r="D1497" s="74" t="s">
        <v>11</v>
      </c>
      <c r="E1497" s="74" t="s">
        <v>35</v>
      </c>
      <c r="F1497" s="80">
        <v>16.488422467680476</v>
      </c>
    </row>
    <row r="1498">
      <c r="A1498" s="76">
        <v>64.0</v>
      </c>
      <c r="B1498" s="74" t="s">
        <v>159</v>
      </c>
      <c r="C1498" s="74" t="s">
        <v>160</v>
      </c>
      <c r="D1498" s="74" t="s">
        <v>11</v>
      </c>
      <c r="E1498" s="74" t="s">
        <v>39</v>
      </c>
      <c r="F1498" s="77">
        <v>40.34842246768047</v>
      </c>
    </row>
    <row r="1499">
      <c r="A1499" s="76">
        <v>18.0</v>
      </c>
      <c r="B1499" s="74" t="s">
        <v>163</v>
      </c>
      <c r="C1499" s="74" t="s">
        <v>240</v>
      </c>
      <c r="D1499" s="74" t="s">
        <v>11</v>
      </c>
      <c r="E1499" s="74" t="s">
        <v>82</v>
      </c>
      <c r="F1499" s="80">
        <v>11.908422467680474</v>
      </c>
    </row>
    <row r="1500">
      <c r="A1500" s="76">
        <v>75.0</v>
      </c>
      <c r="B1500" s="74" t="s">
        <v>238</v>
      </c>
      <c r="C1500" s="74" t="s">
        <v>239</v>
      </c>
      <c r="D1500" s="74" t="s">
        <v>30</v>
      </c>
      <c r="E1500" s="74" t="s">
        <v>85</v>
      </c>
      <c r="F1500" s="77">
        <v>13.868422467680473</v>
      </c>
    </row>
    <row r="1501">
      <c r="A1501" s="76">
        <v>38.0</v>
      </c>
      <c r="B1501" s="74" t="s">
        <v>116</v>
      </c>
      <c r="C1501" s="74" t="s">
        <v>117</v>
      </c>
      <c r="D1501" s="74" t="s">
        <v>11</v>
      </c>
      <c r="E1501" s="74" t="s">
        <v>72</v>
      </c>
      <c r="F1501" s="80">
        <v>15.268422467680471</v>
      </c>
    </row>
    <row r="1502">
      <c r="A1502" s="76">
        <v>22.0</v>
      </c>
      <c r="B1502" s="74" t="s">
        <v>131</v>
      </c>
      <c r="C1502" s="74" t="s">
        <v>132</v>
      </c>
      <c r="D1502" s="74" t="s">
        <v>11</v>
      </c>
      <c r="E1502" s="74" t="s">
        <v>97</v>
      </c>
      <c r="F1502" s="77">
        <v>1.368422467680474</v>
      </c>
    </row>
    <row r="1503">
      <c r="A1503" s="76">
        <v>8.0</v>
      </c>
      <c r="B1503" s="74" t="s">
        <v>108</v>
      </c>
      <c r="C1503" s="74" t="s">
        <v>109</v>
      </c>
      <c r="D1503" s="74" t="s">
        <v>11</v>
      </c>
      <c r="E1503" s="74" t="s">
        <v>39</v>
      </c>
      <c r="F1503" s="80">
        <v>23.948422467680476</v>
      </c>
    </row>
    <row r="1504">
      <c r="A1504" s="76">
        <v>1.0</v>
      </c>
      <c r="B1504" s="74" t="s">
        <v>194</v>
      </c>
      <c r="C1504" s="74" t="s">
        <v>195</v>
      </c>
      <c r="D1504" s="74" t="s">
        <v>30</v>
      </c>
      <c r="E1504" s="74" t="s">
        <v>82</v>
      </c>
      <c r="F1504" s="77">
        <v>13.948422467680473</v>
      </c>
    </row>
    <row r="1505">
      <c r="A1505" s="76">
        <v>31.0</v>
      </c>
      <c r="B1505" s="74" t="s">
        <v>229</v>
      </c>
      <c r="C1505" s="74" t="s">
        <v>230</v>
      </c>
      <c r="D1505" s="74" t="s">
        <v>11</v>
      </c>
      <c r="E1505" s="74" t="s">
        <v>88</v>
      </c>
      <c r="F1505" s="80">
        <v>33.63842246768048</v>
      </c>
    </row>
    <row r="1506">
      <c r="A1506" s="76">
        <v>8.0</v>
      </c>
      <c r="B1506" s="74" t="s">
        <v>108</v>
      </c>
      <c r="C1506" s="74" t="s">
        <v>109</v>
      </c>
      <c r="D1506" s="74" t="s">
        <v>11</v>
      </c>
      <c r="E1506" s="74" t="s">
        <v>85</v>
      </c>
      <c r="F1506" s="77">
        <v>14.918422467680474</v>
      </c>
    </row>
    <row r="1507">
      <c r="A1507" s="76">
        <v>95.0</v>
      </c>
      <c r="B1507" s="74" t="s">
        <v>110</v>
      </c>
      <c r="C1507" s="74" t="s">
        <v>111</v>
      </c>
      <c r="D1507" s="74" t="s">
        <v>30</v>
      </c>
      <c r="E1507" s="74" t="s">
        <v>72</v>
      </c>
      <c r="F1507" s="80">
        <v>14.738422467680474</v>
      </c>
    </row>
    <row r="1508">
      <c r="A1508" s="76">
        <v>10.0</v>
      </c>
      <c r="B1508" s="74" t="s">
        <v>148</v>
      </c>
      <c r="C1508" s="74" t="s">
        <v>149</v>
      </c>
      <c r="D1508" s="74" t="s">
        <v>11</v>
      </c>
      <c r="E1508" s="74" t="s">
        <v>94</v>
      </c>
      <c r="F1508" s="77">
        <v>25.478422467680474</v>
      </c>
    </row>
    <row r="1509">
      <c r="A1509" s="76">
        <v>70.0</v>
      </c>
      <c r="B1509" s="74" t="s">
        <v>152</v>
      </c>
      <c r="C1509" s="74" t="s">
        <v>153</v>
      </c>
      <c r="D1509" s="74" t="s">
        <v>30</v>
      </c>
      <c r="E1509" s="74" t="s">
        <v>72</v>
      </c>
      <c r="F1509" s="80">
        <v>14.008422467680473</v>
      </c>
    </row>
    <row r="1510">
      <c r="A1510" s="76">
        <v>34.0</v>
      </c>
      <c r="B1510" s="74" t="s">
        <v>177</v>
      </c>
      <c r="C1510" s="74" t="s">
        <v>178</v>
      </c>
      <c r="D1510" s="74" t="s">
        <v>11</v>
      </c>
      <c r="E1510" s="74" t="s">
        <v>31</v>
      </c>
      <c r="F1510" s="77">
        <v>47.788422467680476</v>
      </c>
    </row>
    <row r="1511">
      <c r="A1511" s="76">
        <v>50.0</v>
      </c>
      <c r="B1511" s="74" t="s">
        <v>33</v>
      </c>
      <c r="C1511" s="74" t="s">
        <v>34</v>
      </c>
      <c r="D1511" s="74" t="s">
        <v>30</v>
      </c>
      <c r="E1511" s="74" t="s">
        <v>88</v>
      </c>
      <c r="F1511" s="80">
        <v>35.548422467680474</v>
      </c>
    </row>
    <row r="1512">
      <c r="A1512" s="76">
        <v>62.0</v>
      </c>
      <c r="B1512" s="74" t="s">
        <v>156</v>
      </c>
      <c r="C1512" s="74" t="s">
        <v>157</v>
      </c>
      <c r="D1512" s="74" t="s">
        <v>11</v>
      </c>
      <c r="E1512" s="74" t="s">
        <v>82</v>
      </c>
      <c r="F1512" s="77">
        <v>10.638422467680472</v>
      </c>
    </row>
    <row r="1513">
      <c r="A1513" s="76">
        <v>19.0</v>
      </c>
      <c r="B1513" s="74" t="s">
        <v>41</v>
      </c>
      <c r="C1513" s="74" t="s">
        <v>193</v>
      </c>
      <c r="D1513" s="74" t="s">
        <v>30</v>
      </c>
      <c r="E1513" s="74" t="s">
        <v>52</v>
      </c>
      <c r="F1513" s="80">
        <v>57.87842246768047</v>
      </c>
    </row>
    <row r="1514">
      <c r="A1514" s="76">
        <v>4.0</v>
      </c>
      <c r="B1514" s="74" t="s">
        <v>118</v>
      </c>
      <c r="C1514" s="74" t="s">
        <v>119</v>
      </c>
      <c r="D1514" s="74" t="s">
        <v>11</v>
      </c>
      <c r="E1514" s="74" t="s">
        <v>82</v>
      </c>
      <c r="F1514" s="77">
        <v>9.498422467680474</v>
      </c>
    </row>
    <row r="1515">
      <c r="A1515" s="76">
        <v>77.0</v>
      </c>
      <c r="B1515" s="74" t="s">
        <v>9</v>
      </c>
      <c r="C1515" s="74" t="s">
        <v>169</v>
      </c>
      <c r="D1515" s="74" t="s">
        <v>11</v>
      </c>
      <c r="E1515" s="74" t="s">
        <v>46</v>
      </c>
      <c r="F1515" s="80">
        <v>13.148422467680474</v>
      </c>
    </row>
    <row r="1516">
      <c r="A1516" s="76">
        <v>76.0</v>
      </c>
      <c r="B1516" s="74" t="s">
        <v>213</v>
      </c>
      <c r="C1516" s="74" t="s">
        <v>214</v>
      </c>
      <c r="D1516" s="74" t="s">
        <v>11</v>
      </c>
      <c r="E1516" s="74" t="s">
        <v>50</v>
      </c>
      <c r="F1516" s="77">
        <v>33.09842246768047</v>
      </c>
    </row>
    <row r="1517">
      <c r="A1517" s="76">
        <v>77.0</v>
      </c>
      <c r="B1517" s="74" t="s">
        <v>9</v>
      </c>
      <c r="C1517" s="74" t="s">
        <v>169</v>
      </c>
      <c r="D1517" s="74" t="s">
        <v>11</v>
      </c>
      <c r="E1517" s="74" t="s">
        <v>60</v>
      </c>
      <c r="F1517" s="80">
        <v>46.84842246768047</v>
      </c>
    </row>
    <row r="1518">
      <c r="A1518" s="76">
        <v>14.0</v>
      </c>
      <c r="B1518" s="74" t="s">
        <v>171</v>
      </c>
      <c r="C1518" s="74" t="s">
        <v>172</v>
      </c>
      <c r="D1518" s="74" t="s">
        <v>30</v>
      </c>
      <c r="E1518" s="74" t="s">
        <v>85</v>
      </c>
      <c r="F1518" s="77">
        <v>15.308422467680474</v>
      </c>
    </row>
    <row r="1519">
      <c r="A1519" s="76">
        <v>92.0</v>
      </c>
      <c r="B1519" s="74" t="s">
        <v>112</v>
      </c>
      <c r="C1519" s="74" t="s">
        <v>197</v>
      </c>
      <c r="D1519" s="74" t="s">
        <v>11</v>
      </c>
      <c r="E1519" s="74" t="s">
        <v>39</v>
      </c>
      <c r="F1519" s="80">
        <v>37.58842246768047</v>
      </c>
    </row>
    <row r="1520">
      <c r="A1520" s="76">
        <v>26.0</v>
      </c>
      <c r="B1520" s="74" t="s">
        <v>211</v>
      </c>
      <c r="C1520" s="74" t="s">
        <v>212</v>
      </c>
      <c r="D1520" s="74" t="s">
        <v>30</v>
      </c>
      <c r="E1520" s="74" t="s">
        <v>46</v>
      </c>
      <c r="F1520" s="77">
        <v>13.068422467680474</v>
      </c>
    </row>
    <row r="1521">
      <c r="A1521" s="76">
        <v>87.0</v>
      </c>
      <c r="B1521" s="74" t="s">
        <v>243</v>
      </c>
      <c r="C1521" s="74" t="s">
        <v>244</v>
      </c>
      <c r="D1521" s="74" t="s">
        <v>30</v>
      </c>
      <c r="E1521" s="74" t="s">
        <v>39</v>
      </c>
      <c r="F1521" s="80">
        <v>20.958422467680474</v>
      </c>
    </row>
    <row r="1522">
      <c r="A1522" s="76">
        <v>70.0</v>
      </c>
      <c r="B1522" s="74" t="s">
        <v>152</v>
      </c>
      <c r="C1522" s="74" t="s">
        <v>153</v>
      </c>
      <c r="D1522" s="74" t="s">
        <v>30</v>
      </c>
      <c r="E1522" s="74" t="s">
        <v>50</v>
      </c>
      <c r="F1522" s="77">
        <v>27.108422467680477</v>
      </c>
    </row>
    <row r="1523">
      <c r="A1523" s="76">
        <v>11.0</v>
      </c>
      <c r="B1523" s="74" t="s">
        <v>227</v>
      </c>
      <c r="C1523" s="74" t="s">
        <v>228</v>
      </c>
      <c r="D1523" s="74" t="s">
        <v>11</v>
      </c>
      <c r="E1523" s="74" t="s">
        <v>39</v>
      </c>
      <c r="F1523" s="80">
        <v>17.158422467680474</v>
      </c>
    </row>
    <row r="1524">
      <c r="A1524" s="76">
        <v>87.0</v>
      </c>
      <c r="B1524" s="74" t="s">
        <v>243</v>
      </c>
      <c r="C1524" s="74" t="s">
        <v>244</v>
      </c>
      <c r="D1524" s="74" t="s">
        <v>30</v>
      </c>
      <c r="E1524" s="74" t="s">
        <v>31</v>
      </c>
      <c r="F1524" s="77">
        <v>53.718422467680476</v>
      </c>
    </row>
    <row r="1525">
      <c r="A1525" s="76">
        <v>6.0</v>
      </c>
      <c r="B1525" s="74" t="s">
        <v>183</v>
      </c>
      <c r="C1525" s="74" t="s">
        <v>184</v>
      </c>
      <c r="D1525" s="74" t="s">
        <v>11</v>
      </c>
      <c r="E1525" s="74" t="s">
        <v>56</v>
      </c>
      <c r="F1525" s="80">
        <v>68.15842246768047</v>
      </c>
    </row>
    <row r="1526">
      <c r="A1526" s="76">
        <v>38.0</v>
      </c>
      <c r="B1526" s="74" t="s">
        <v>116</v>
      </c>
      <c r="C1526" s="74" t="s">
        <v>117</v>
      </c>
      <c r="D1526" s="74" t="s">
        <v>11</v>
      </c>
      <c r="E1526" s="74" t="s">
        <v>91</v>
      </c>
      <c r="F1526" s="77">
        <v>1.5084224676804736</v>
      </c>
    </row>
    <row r="1527">
      <c r="A1527" s="76">
        <v>73.0</v>
      </c>
      <c r="B1527" s="74" t="s">
        <v>223</v>
      </c>
      <c r="C1527" s="74" t="s">
        <v>224</v>
      </c>
      <c r="D1527" s="74" t="s">
        <v>30</v>
      </c>
      <c r="E1527" s="74" t="s">
        <v>12</v>
      </c>
      <c r="F1527" s="80">
        <v>9.098422467680473</v>
      </c>
    </row>
    <row r="1528">
      <c r="A1528" s="76">
        <v>11.0</v>
      </c>
      <c r="B1528" s="74" t="s">
        <v>227</v>
      </c>
      <c r="C1528" s="74" t="s">
        <v>228</v>
      </c>
      <c r="D1528" s="74" t="s">
        <v>30</v>
      </c>
      <c r="E1528" s="74" t="s">
        <v>91</v>
      </c>
      <c r="F1528" s="77">
        <v>0.7784224676804739</v>
      </c>
    </row>
    <row r="1529">
      <c r="A1529" s="76">
        <v>47.0</v>
      </c>
      <c r="B1529" s="74" t="s">
        <v>120</v>
      </c>
      <c r="C1529" s="74" t="s">
        <v>121</v>
      </c>
      <c r="D1529" s="74" t="s">
        <v>11</v>
      </c>
      <c r="E1529" s="74" t="s">
        <v>85</v>
      </c>
      <c r="F1529" s="80">
        <v>14.138422467680472</v>
      </c>
    </row>
    <row r="1530">
      <c r="A1530" s="76">
        <v>98.0</v>
      </c>
      <c r="B1530" s="74" t="s">
        <v>159</v>
      </c>
      <c r="C1530" s="74" t="s">
        <v>196</v>
      </c>
      <c r="D1530" s="74" t="s">
        <v>11</v>
      </c>
      <c r="E1530" s="74" t="s">
        <v>43</v>
      </c>
      <c r="F1530" s="77">
        <v>16.848422467680475</v>
      </c>
    </row>
    <row r="1531">
      <c r="A1531" s="76">
        <v>90.0</v>
      </c>
      <c r="B1531" s="74" t="s">
        <v>219</v>
      </c>
      <c r="C1531" s="74" t="s">
        <v>220</v>
      </c>
      <c r="D1531" s="74" t="s">
        <v>30</v>
      </c>
      <c r="E1531" s="74" t="s">
        <v>35</v>
      </c>
      <c r="F1531" s="80">
        <v>14.028422467680473</v>
      </c>
    </row>
    <row r="1532">
      <c r="A1532" s="76">
        <v>52.0</v>
      </c>
      <c r="B1532" s="74" t="s">
        <v>181</v>
      </c>
      <c r="C1532" s="74" t="s">
        <v>182</v>
      </c>
      <c r="D1532" s="74" t="s">
        <v>11</v>
      </c>
      <c r="E1532" s="74" t="s">
        <v>88</v>
      </c>
      <c r="F1532" s="77">
        <v>40.078422467680475</v>
      </c>
    </row>
    <row r="1533">
      <c r="A1533" s="76">
        <v>18.0</v>
      </c>
      <c r="B1533" s="74" t="s">
        <v>163</v>
      </c>
      <c r="C1533" s="74" t="s">
        <v>240</v>
      </c>
      <c r="D1533" s="74" t="s">
        <v>30</v>
      </c>
      <c r="E1533" s="74" t="s">
        <v>52</v>
      </c>
      <c r="F1533" s="80">
        <v>65.85842246768047</v>
      </c>
    </row>
    <row r="1534">
      <c r="A1534" s="76">
        <v>9.0</v>
      </c>
      <c r="B1534" s="74" t="s">
        <v>207</v>
      </c>
      <c r="C1534" s="74" t="s">
        <v>208</v>
      </c>
      <c r="D1534" s="74" t="s">
        <v>11</v>
      </c>
      <c r="E1534" s="74" t="s">
        <v>97</v>
      </c>
      <c r="F1534" s="77">
        <v>1.4584224676804738</v>
      </c>
    </row>
    <row r="1535">
      <c r="A1535" s="76">
        <v>56.0</v>
      </c>
      <c r="B1535" s="74" t="s">
        <v>127</v>
      </c>
      <c r="C1535" s="74" t="s">
        <v>128</v>
      </c>
      <c r="D1535" s="74" t="s">
        <v>30</v>
      </c>
      <c r="E1535" s="74" t="s">
        <v>85</v>
      </c>
      <c r="F1535" s="80">
        <v>14.678422467680473</v>
      </c>
    </row>
    <row r="1536">
      <c r="A1536" s="76">
        <v>90.0</v>
      </c>
      <c r="B1536" s="74" t="s">
        <v>219</v>
      </c>
      <c r="C1536" s="74" t="s">
        <v>220</v>
      </c>
      <c r="D1536" s="74" t="s">
        <v>30</v>
      </c>
      <c r="E1536" s="74" t="s">
        <v>35</v>
      </c>
      <c r="F1536" s="77">
        <v>13.258422467680473</v>
      </c>
    </row>
    <row r="1537">
      <c r="A1537" s="76">
        <v>10.0</v>
      </c>
      <c r="B1537" s="74" t="s">
        <v>148</v>
      </c>
      <c r="C1537" s="74" t="s">
        <v>149</v>
      </c>
      <c r="D1537" s="74" t="s">
        <v>11</v>
      </c>
      <c r="E1537" s="74" t="s">
        <v>88</v>
      </c>
      <c r="F1537" s="80">
        <v>33.27842246768048</v>
      </c>
    </row>
    <row r="1538">
      <c r="A1538" s="76">
        <v>69.0</v>
      </c>
      <c r="B1538" s="74" t="s">
        <v>108</v>
      </c>
      <c r="C1538" s="74" t="s">
        <v>145</v>
      </c>
      <c r="D1538" s="74" t="s">
        <v>11</v>
      </c>
      <c r="E1538" s="74" t="s">
        <v>91</v>
      </c>
      <c r="F1538" s="77">
        <v>1.388422467680474</v>
      </c>
    </row>
    <row r="1539">
      <c r="A1539" s="76">
        <v>86.0</v>
      </c>
      <c r="B1539" s="74" t="s">
        <v>62</v>
      </c>
      <c r="C1539" s="74" t="s">
        <v>63</v>
      </c>
      <c r="D1539" s="74" t="s">
        <v>30</v>
      </c>
      <c r="E1539" s="74" t="s">
        <v>52</v>
      </c>
      <c r="F1539" s="80">
        <v>62.81842246768048</v>
      </c>
    </row>
    <row r="1540">
      <c r="A1540" s="76">
        <v>39.0</v>
      </c>
      <c r="B1540" s="74" t="s">
        <v>89</v>
      </c>
      <c r="C1540" s="74" t="s">
        <v>90</v>
      </c>
      <c r="D1540" s="74" t="s">
        <v>30</v>
      </c>
      <c r="E1540" s="74" t="s">
        <v>97</v>
      </c>
      <c r="F1540" s="77">
        <v>1.9684224676804736</v>
      </c>
    </row>
    <row r="1541">
      <c r="A1541" s="76">
        <v>40.0</v>
      </c>
      <c r="B1541" s="74" t="s">
        <v>122</v>
      </c>
      <c r="C1541" s="74" t="s">
        <v>185</v>
      </c>
      <c r="D1541" s="74" t="s">
        <v>11</v>
      </c>
      <c r="E1541" s="74" t="s">
        <v>50</v>
      </c>
      <c r="F1541" s="80">
        <v>31.488422467680472</v>
      </c>
    </row>
    <row r="1542">
      <c r="A1542" s="76">
        <v>64.0</v>
      </c>
      <c r="B1542" s="74" t="s">
        <v>159</v>
      </c>
      <c r="C1542" s="74" t="s">
        <v>160</v>
      </c>
      <c r="D1542" s="74" t="s">
        <v>11</v>
      </c>
      <c r="E1542" s="74" t="s">
        <v>12</v>
      </c>
      <c r="F1542" s="77">
        <v>9.578422467680474</v>
      </c>
    </row>
    <row r="1543">
      <c r="A1543" s="76">
        <v>7.0</v>
      </c>
      <c r="B1543" s="74" t="s">
        <v>114</v>
      </c>
      <c r="C1543" s="74" t="s">
        <v>115</v>
      </c>
      <c r="D1543" s="74" t="s">
        <v>11</v>
      </c>
      <c r="E1543" s="74" t="s">
        <v>94</v>
      </c>
      <c r="F1543" s="80">
        <v>24.528422467680475</v>
      </c>
    </row>
    <row r="1544">
      <c r="A1544" s="76">
        <v>88.0</v>
      </c>
      <c r="B1544" s="74" t="s">
        <v>200</v>
      </c>
      <c r="C1544" s="74" t="s">
        <v>206</v>
      </c>
      <c r="D1544" s="74" t="s">
        <v>11</v>
      </c>
      <c r="E1544" s="74" t="s">
        <v>91</v>
      </c>
      <c r="F1544" s="77">
        <v>1.638422467680474</v>
      </c>
    </row>
    <row r="1545">
      <c r="A1545" s="76">
        <v>86.0</v>
      </c>
      <c r="B1545" s="74" t="s">
        <v>62</v>
      </c>
      <c r="C1545" s="74" t="s">
        <v>63</v>
      </c>
      <c r="D1545" s="74" t="s">
        <v>11</v>
      </c>
      <c r="E1545" s="74" t="s">
        <v>85</v>
      </c>
      <c r="F1545" s="80">
        <v>13.068422467680474</v>
      </c>
    </row>
    <row r="1546">
      <c r="A1546" s="76">
        <v>60.0</v>
      </c>
      <c r="B1546" s="74" t="s">
        <v>65</v>
      </c>
      <c r="C1546" s="74" t="s">
        <v>66</v>
      </c>
      <c r="D1546" s="74" t="s">
        <v>30</v>
      </c>
      <c r="E1546" s="74" t="s">
        <v>12</v>
      </c>
      <c r="F1546" s="77">
        <v>9.448422467680473</v>
      </c>
    </row>
    <row r="1547">
      <c r="A1547" s="76">
        <v>74.0</v>
      </c>
      <c r="B1547" s="74" t="s">
        <v>9</v>
      </c>
      <c r="C1547" s="74" t="s">
        <v>124</v>
      </c>
      <c r="D1547" s="74" t="s">
        <v>30</v>
      </c>
      <c r="E1547" s="74" t="s">
        <v>94</v>
      </c>
      <c r="F1547" s="80">
        <v>28.378422467680476</v>
      </c>
    </row>
    <row r="1548">
      <c r="A1548" s="76">
        <v>3.0</v>
      </c>
      <c r="B1548" s="74" t="s">
        <v>80</v>
      </c>
      <c r="C1548" s="74" t="s">
        <v>81</v>
      </c>
      <c r="D1548" s="74" t="s">
        <v>30</v>
      </c>
      <c r="E1548" s="74" t="s">
        <v>56</v>
      </c>
      <c r="F1548" s="77">
        <v>74.49842246768047</v>
      </c>
    </row>
    <row r="1549">
      <c r="A1549" s="76">
        <v>78.0</v>
      </c>
      <c r="B1549" s="74" t="s">
        <v>28</v>
      </c>
      <c r="C1549" s="74" t="s">
        <v>29</v>
      </c>
      <c r="D1549" s="74" t="s">
        <v>11</v>
      </c>
      <c r="E1549" s="74" t="s">
        <v>91</v>
      </c>
      <c r="F1549" s="80">
        <v>1.8784224676804737</v>
      </c>
    </row>
    <row r="1550">
      <c r="A1550" s="76">
        <v>75.0</v>
      </c>
      <c r="B1550" s="74" t="s">
        <v>238</v>
      </c>
      <c r="C1550" s="74" t="s">
        <v>239</v>
      </c>
      <c r="D1550" s="74" t="s">
        <v>11</v>
      </c>
      <c r="E1550" s="74" t="s">
        <v>72</v>
      </c>
      <c r="F1550" s="77">
        <v>15.398422467680474</v>
      </c>
    </row>
    <row r="1551">
      <c r="A1551" s="76">
        <v>36.0</v>
      </c>
      <c r="B1551" s="74" t="s">
        <v>92</v>
      </c>
      <c r="C1551" s="74" t="s">
        <v>93</v>
      </c>
      <c r="D1551" s="74" t="s">
        <v>30</v>
      </c>
      <c r="E1551" s="74" t="s">
        <v>72</v>
      </c>
      <c r="F1551" s="80">
        <v>14.448422467680473</v>
      </c>
    </row>
    <row r="1552">
      <c r="A1552" s="76">
        <v>49.0</v>
      </c>
      <c r="B1552" s="74" t="s">
        <v>179</v>
      </c>
      <c r="C1552" s="74" t="s">
        <v>180</v>
      </c>
      <c r="D1552" s="74" t="s">
        <v>11</v>
      </c>
      <c r="E1552" s="74" t="s">
        <v>82</v>
      </c>
      <c r="F1552" s="77">
        <v>10.688422467680473</v>
      </c>
    </row>
    <row r="1553">
      <c r="A1553" s="76">
        <v>24.0</v>
      </c>
      <c r="B1553" s="74" t="s">
        <v>139</v>
      </c>
      <c r="C1553" s="74" t="s">
        <v>140</v>
      </c>
      <c r="D1553" s="74" t="s">
        <v>30</v>
      </c>
      <c r="E1553" s="74" t="s">
        <v>79</v>
      </c>
      <c r="F1553" s="80">
        <v>35.20842246768048</v>
      </c>
    </row>
    <row r="1554">
      <c r="A1554" s="76">
        <v>22.0</v>
      </c>
      <c r="B1554" s="74" t="s">
        <v>131</v>
      </c>
      <c r="C1554" s="74" t="s">
        <v>132</v>
      </c>
      <c r="D1554" s="74" t="s">
        <v>11</v>
      </c>
      <c r="E1554" s="74" t="s">
        <v>94</v>
      </c>
      <c r="F1554" s="77">
        <v>30.698422467680476</v>
      </c>
    </row>
    <row r="1555">
      <c r="A1555" s="76">
        <v>64.0</v>
      </c>
      <c r="B1555" s="74" t="s">
        <v>159</v>
      </c>
      <c r="C1555" s="74" t="s">
        <v>160</v>
      </c>
      <c r="D1555" s="74" t="s">
        <v>11</v>
      </c>
      <c r="E1555" s="74" t="s">
        <v>97</v>
      </c>
      <c r="F1555" s="80">
        <v>1.618422467680474</v>
      </c>
    </row>
    <row r="1556">
      <c r="A1556" s="76">
        <v>14.0</v>
      </c>
      <c r="B1556" s="74" t="s">
        <v>171</v>
      </c>
      <c r="C1556" s="74" t="s">
        <v>172</v>
      </c>
      <c r="D1556" s="74" t="s">
        <v>11</v>
      </c>
      <c r="E1556" s="74" t="s">
        <v>52</v>
      </c>
      <c r="F1556" s="77">
        <v>48.618422467680475</v>
      </c>
    </row>
    <row r="1557">
      <c r="A1557" s="76">
        <v>26.0</v>
      </c>
      <c r="B1557" s="74" t="s">
        <v>211</v>
      </c>
      <c r="C1557" s="74" t="s">
        <v>212</v>
      </c>
      <c r="D1557" s="74" t="s">
        <v>30</v>
      </c>
      <c r="E1557" s="74" t="s">
        <v>72</v>
      </c>
      <c r="F1557" s="80">
        <v>22.838422467680473</v>
      </c>
    </row>
    <row r="1558">
      <c r="A1558" s="76">
        <v>67.0</v>
      </c>
      <c r="B1558" s="74" t="s">
        <v>204</v>
      </c>
      <c r="C1558" s="74" t="s">
        <v>205</v>
      </c>
      <c r="D1558" s="74" t="s">
        <v>30</v>
      </c>
      <c r="E1558" s="74" t="s">
        <v>35</v>
      </c>
      <c r="F1558" s="77">
        <v>16.308422467680476</v>
      </c>
    </row>
    <row r="1559">
      <c r="A1559" s="76">
        <v>84.0</v>
      </c>
      <c r="B1559" s="74" t="s">
        <v>141</v>
      </c>
      <c r="C1559" s="74" t="s">
        <v>142</v>
      </c>
      <c r="D1559" s="74" t="s">
        <v>30</v>
      </c>
      <c r="E1559" s="74" t="s">
        <v>46</v>
      </c>
      <c r="F1559" s="80">
        <v>12.568422467680474</v>
      </c>
    </row>
    <row r="1560">
      <c r="A1560" s="76">
        <v>13.0</v>
      </c>
      <c r="B1560" s="74" t="s">
        <v>137</v>
      </c>
      <c r="C1560" s="74" t="s">
        <v>138</v>
      </c>
      <c r="D1560" s="74" t="s">
        <v>11</v>
      </c>
      <c r="E1560" s="74" t="s">
        <v>12</v>
      </c>
      <c r="F1560" s="77">
        <v>9.368422467680473</v>
      </c>
    </row>
    <row r="1561">
      <c r="A1561" s="76">
        <v>53.0</v>
      </c>
      <c r="B1561" s="74" t="s">
        <v>241</v>
      </c>
      <c r="C1561" s="74" t="s">
        <v>242</v>
      </c>
      <c r="D1561" s="74" t="s">
        <v>11</v>
      </c>
      <c r="E1561" s="74" t="s">
        <v>72</v>
      </c>
      <c r="F1561" s="80">
        <v>13.298422467680473</v>
      </c>
    </row>
    <row r="1562">
      <c r="A1562" s="76">
        <v>56.0</v>
      </c>
      <c r="B1562" s="74" t="s">
        <v>127</v>
      </c>
      <c r="C1562" s="74" t="s">
        <v>128</v>
      </c>
      <c r="D1562" s="74" t="s">
        <v>11</v>
      </c>
      <c r="E1562" s="74" t="s">
        <v>82</v>
      </c>
      <c r="F1562" s="77">
        <v>11.648422467680474</v>
      </c>
    </row>
    <row r="1563">
      <c r="A1563" s="76">
        <v>69.0</v>
      </c>
      <c r="B1563" s="74" t="s">
        <v>108</v>
      </c>
      <c r="C1563" s="74" t="s">
        <v>145</v>
      </c>
      <c r="D1563" s="74" t="s">
        <v>30</v>
      </c>
      <c r="E1563" s="74" t="s">
        <v>76</v>
      </c>
      <c r="F1563" s="80">
        <v>11.178422467680473</v>
      </c>
    </row>
    <row r="1564">
      <c r="A1564" s="76">
        <v>87.0</v>
      </c>
      <c r="B1564" s="74" t="s">
        <v>243</v>
      </c>
      <c r="C1564" s="74" t="s">
        <v>244</v>
      </c>
      <c r="D1564" s="74" t="s">
        <v>30</v>
      </c>
      <c r="E1564" s="74" t="s">
        <v>76</v>
      </c>
      <c r="F1564" s="77">
        <v>11.258422467680473</v>
      </c>
    </row>
    <row r="1565">
      <c r="A1565" s="76">
        <v>77.0</v>
      </c>
      <c r="B1565" s="74" t="s">
        <v>9</v>
      </c>
      <c r="C1565" s="74" t="s">
        <v>169</v>
      </c>
      <c r="D1565" s="74" t="s">
        <v>30</v>
      </c>
      <c r="E1565" s="74" t="s">
        <v>91</v>
      </c>
      <c r="F1565" s="80">
        <v>1.9884224676804736</v>
      </c>
    </row>
    <row r="1566">
      <c r="A1566" s="76">
        <v>99.0</v>
      </c>
      <c r="B1566" s="74" t="s">
        <v>73</v>
      </c>
      <c r="C1566" s="74" t="s">
        <v>74</v>
      </c>
      <c r="D1566" s="74" t="s">
        <v>30</v>
      </c>
      <c r="E1566" s="74" t="s">
        <v>60</v>
      </c>
      <c r="F1566" s="77">
        <v>51.398422467680476</v>
      </c>
    </row>
    <row r="1567">
      <c r="A1567" s="76">
        <v>81.0</v>
      </c>
      <c r="B1567" s="74" t="s">
        <v>54</v>
      </c>
      <c r="C1567" s="74" t="s">
        <v>55</v>
      </c>
      <c r="D1567" s="74" t="s">
        <v>11</v>
      </c>
      <c r="E1567" s="74" t="s">
        <v>12</v>
      </c>
      <c r="F1567" s="80">
        <v>9.248422467680474</v>
      </c>
    </row>
    <row r="1568">
      <c r="A1568" s="76">
        <v>81.0</v>
      </c>
      <c r="B1568" s="74" t="s">
        <v>54</v>
      </c>
      <c r="C1568" s="74" t="s">
        <v>55</v>
      </c>
      <c r="D1568" s="74" t="s">
        <v>30</v>
      </c>
      <c r="E1568" s="74" t="s">
        <v>91</v>
      </c>
      <c r="F1568" s="77">
        <v>3.0784224676804737</v>
      </c>
    </row>
    <row r="1569">
      <c r="A1569" s="76">
        <v>37.0</v>
      </c>
      <c r="B1569" s="74" t="s">
        <v>245</v>
      </c>
      <c r="C1569" s="74" t="s">
        <v>246</v>
      </c>
      <c r="D1569" s="74" t="s">
        <v>30</v>
      </c>
      <c r="E1569" s="74" t="s">
        <v>97</v>
      </c>
      <c r="F1569" s="80">
        <v>2.6684224676804735</v>
      </c>
    </row>
    <row r="1570">
      <c r="A1570" s="76">
        <v>25.0</v>
      </c>
      <c r="B1570" s="74" t="s">
        <v>154</v>
      </c>
      <c r="C1570" s="74" t="s">
        <v>155</v>
      </c>
      <c r="D1570" s="74" t="s">
        <v>30</v>
      </c>
      <c r="E1570" s="74" t="s">
        <v>52</v>
      </c>
      <c r="F1570" s="77">
        <v>58.368422467680475</v>
      </c>
    </row>
    <row r="1571">
      <c r="A1571" s="76">
        <v>88.0</v>
      </c>
      <c r="B1571" s="74" t="s">
        <v>200</v>
      </c>
      <c r="C1571" s="74" t="s">
        <v>206</v>
      </c>
      <c r="D1571" s="74" t="s">
        <v>11</v>
      </c>
      <c r="E1571" s="74" t="s">
        <v>50</v>
      </c>
      <c r="F1571" s="80">
        <v>32.788422467680476</v>
      </c>
    </row>
    <row r="1572">
      <c r="A1572" s="76">
        <v>6.0</v>
      </c>
      <c r="B1572" s="74" t="s">
        <v>183</v>
      </c>
      <c r="C1572" s="74" t="s">
        <v>184</v>
      </c>
      <c r="D1572" s="74" t="s">
        <v>30</v>
      </c>
      <c r="E1572" s="74" t="s">
        <v>12</v>
      </c>
      <c r="F1572" s="77">
        <v>9.328422467680474</v>
      </c>
    </row>
    <row r="1573">
      <c r="A1573" s="76">
        <v>40.0</v>
      </c>
      <c r="B1573" s="74" t="s">
        <v>122</v>
      </c>
      <c r="C1573" s="74" t="s">
        <v>185</v>
      </c>
      <c r="D1573" s="74" t="s">
        <v>11</v>
      </c>
      <c r="E1573" s="74" t="s">
        <v>85</v>
      </c>
      <c r="F1573" s="80">
        <v>11.798422467680473</v>
      </c>
    </row>
    <row r="1574">
      <c r="A1574" s="76">
        <v>23.0</v>
      </c>
      <c r="B1574" s="74" t="s">
        <v>235</v>
      </c>
      <c r="C1574" s="74" t="s">
        <v>236</v>
      </c>
      <c r="D1574" s="74" t="s">
        <v>30</v>
      </c>
      <c r="E1574" s="74" t="s">
        <v>97</v>
      </c>
      <c r="F1574" s="77">
        <v>3.018422467680474</v>
      </c>
    </row>
    <row r="1575">
      <c r="A1575" s="76">
        <v>22.0</v>
      </c>
      <c r="B1575" s="74" t="s">
        <v>131</v>
      </c>
      <c r="C1575" s="74" t="s">
        <v>132</v>
      </c>
      <c r="D1575" s="74" t="s">
        <v>11</v>
      </c>
      <c r="E1575" s="74" t="s">
        <v>82</v>
      </c>
      <c r="F1575" s="80">
        <v>11.988422467680474</v>
      </c>
    </row>
    <row r="1576">
      <c r="A1576" s="76">
        <v>27.0</v>
      </c>
      <c r="B1576" s="74" t="s">
        <v>173</v>
      </c>
      <c r="C1576" s="74" t="s">
        <v>174</v>
      </c>
      <c r="D1576" s="74" t="s">
        <v>11</v>
      </c>
      <c r="E1576" s="74" t="s">
        <v>79</v>
      </c>
      <c r="F1576" s="77">
        <v>36.688422467680475</v>
      </c>
    </row>
    <row r="1577">
      <c r="A1577" s="76">
        <v>86.0</v>
      </c>
      <c r="B1577" s="74" t="s">
        <v>62</v>
      </c>
      <c r="C1577" s="74" t="s">
        <v>63</v>
      </c>
      <c r="D1577" s="74" t="s">
        <v>30</v>
      </c>
      <c r="E1577" s="74" t="s">
        <v>46</v>
      </c>
      <c r="F1577" s="80">
        <v>11.848422467680473</v>
      </c>
    </row>
    <row r="1578">
      <c r="A1578" s="76">
        <v>100.0</v>
      </c>
      <c r="B1578" s="74" t="s">
        <v>48</v>
      </c>
      <c r="C1578" s="74" t="s">
        <v>49</v>
      </c>
      <c r="D1578" s="74" t="s">
        <v>11</v>
      </c>
      <c r="E1578" s="74" t="s">
        <v>35</v>
      </c>
      <c r="F1578" s="77">
        <v>19.818422467680474</v>
      </c>
    </row>
    <row r="1579">
      <c r="A1579" s="76">
        <v>56.0</v>
      </c>
      <c r="B1579" s="74" t="s">
        <v>127</v>
      </c>
      <c r="C1579" s="74" t="s">
        <v>128</v>
      </c>
      <c r="D1579" s="74" t="s">
        <v>11</v>
      </c>
      <c r="E1579" s="74" t="s">
        <v>79</v>
      </c>
      <c r="F1579" s="80">
        <v>34.938422467680475</v>
      </c>
    </row>
    <row r="1580">
      <c r="A1580" s="76">
        <v>80.0</v>
      </c>
      <c r="B1580" s="74" t="s">
        <v>37</v>
      </c>
      <c r="C1580" s="74" t="s">
        <v>38</v>
      </c>
      <c r="D1580" s="74" t="s">
        <v>30</v>
      </c>
      <c r="E1580" s="74" t="s">
        <v>68</v>
      </c>
      <c r="F1580" s="77">
        <v>6.908422467680474</v>
      </c>
    </row>
    <row r="1581">
      <c r="A1581" s="76">
        <v>42.0</v>
      </c>
      <c r="B1581" s="74" t="s">
        <v>92</v>
      </c>
      <c r="C1581" s="74" t="s">
        <v>170</v>
      </c>
      <c r="D1581" s="74" t="s">
        <v>30</v>
      </c>
      <c r="E1581" s="74" t="s">
        <v>43</v>
      </c>
      <c r="F1581" s="80">
        <v>12.748422467680474</v>
      </c>
    </row>
    <row r="1582">
      <c r="A1582" s="76">
        <v>56.0</v>
      </c>
      <c r="B1582" s="74" t="s">
        <v>127</v>
      </c>
      <c r="C1582" s="74" t="s">
        <v>128</v>
      </c>
      <c r="D1582" s="74" t="s">
        <v>30</v>
      </c>
      <c r="E1582" s="74" t="s">
        <v>35</v>
      </c>
      <c r="F1582" s="77">
        <v>15.018422467680471</v>
      </c>
    </row>
    <row r="1583">
      <c r="A1583" s="76">
        <v>64.0</v>
      </c>
      <c r="B1583" s="74" t="s">
        <v>159</v>
      </c>
      <c r="C1583" s="74" t="s">
        <v>160</v>
      </c>
      <c r="D1583" s="74" t="s">
        <v>11</v>
      </c>
      <c r="E1583" s="74" t="s">
        <v>46</v>
      </c>
      <c r="F1583" s="80">
        <v>10.798422467680473</v>
      </c>
    </row>
    <row r="1584">
      <c r="A1584" s="76">
        <v>65.0</v>
      </c>
      <c r="B1584" s="74" t="s">
        <v>209</v>
      </c>
      <c r="C1584" s="74" t="s">
        <v>210</v>
      </c>
      <c r="D1584" s="74" t="s">
        <v>11</v>
      </c>
      <c r="E1584" s="74" t="s">
        <v>56</v>
      </c>
      <c r="F1584" s="77">
        <v>60.548422467680474</v>
      </c>
    </row>
    <row r="1585">
      <c r="A1585" s="76">
        <v>45.0</v>
      </c>
      <c r="B1585" s="74" t="s">
        <v>221</v>
      </c>
      <c r="C1585" s="74" t="s">
        <v>222</v>
      </c>
      <c r="D1585" s="74" t="s">
        <v>30</v>
      </c>
      <c r="E1585" s="74" t="s">
        <v>94</v>
      </c>
      <c r="F1585" s="80">
        <v>30.598422467680475</v>
      </c>
    </row>
    <row r="1586">
      <c r="A1586" s="76">
        <v>52.0</v>
      </c>
      <c r="B1586" s="74" t="s">
        <v>181</v>
      </c>
      <c r="C1586" s="74" t="s">
        <v>182</v>
      </c>
      <c r="D1586" s="74" t="s">
        <v>30</v>
      </c>
      <c r="E1586" s="74" t="s">
        <v>39</v>
      </c>
      <c r="F1586" s="77">
        <v>34.24842246768048</v>
      </c>
    </row>
    <row r="1587">
      <c r="A1587" s="76">
        <v>25.0</v>
      </c>
      <c r="B1587" s="74" t="s">
        <v>154</v>
      </c>
      <c r="C1587" s="74" t="s">
        <v>155</v>
      </c>
      <c r="D1587" s="74" t="s">
        <v>11</v>
      </c>
      <c r="E1587" s="74" t="s">
        <v>76</v>
      </c>
      <c r="F1587" s="80">
        <v>10.638422467680472</v>
      </c>
    </row>
    <row r="1588">
      <c r="A1588" s="76">
        <v>89.0</v>
      </c>
      <c r="B1588" s="74" t="s">
        <v>135</v>
      </c>
      <c r="C1588" s="74" t="s">
        <v>136</v>
      </c>
      <c r="D1588" s="74" t="s">
        <v>11</v>
      </c>
      <c r="E1588" s="74" t="s">
        <v>52</v>
      </c>
      <c r="F1588" s="77">
        <v>67.06842246768046</v>
      </c>
    </row>
    <row r="1589">
      <c r="A1589" s="76">
        <v>1.0</v>
      </c>
      <c r="B1589" s="74" t="s">
        <v>194</v>
      </c>
      <c r="C1589" s="74" t="s">
        <v>195</v>
      </c>
      <c r="D1589" s="74" t="s">
        <v>11</v>
      </c>
      <c r="E1589" s="74" t="s">
        <v>68</v>
      </c>
      <c r="F1589" s="80">
        <v>7.808422467680473</v>
      </c>
    </row>
    <row r="1590">
      <c r="A1590" s="76">
        <v>19.0</v>
      </c>
      <c r="B1590" s="74" t="s">
        <v>41</v>
      </c>
      <c r="C1590" s="74" t="s">
        <v>193</v>
      </c>
      <c r="D1590" s="74" t="s">
        <v>11</v>
      </c>
      <c r="E1590" s="74" t="s">
        <v>85</v>
      </c>
      <c r="F1590" s="77">
        <v>10.798422467680473</v>
      </c>
    </row>
    <row r="1591">
      <c r="A1591" s="76">
        <v>57.0</v>
      </c>
      <c r="B1591" s="74" t="s">
        <v>92</v>
      </c>
      <c r="C1591" s="74" t="s">
        <v>190</v>
      </c>
      <c r="D1591" s="74" t="s">
        <v>30</v>
      </c>
      <c r="E1591" s="74" t="s">
        <v>85</v>
      </c>
      <c r="F1591" s="80">
        <v>13.708422467680473</v>
      </c>
    </row>
    <row r="1592">
      <c r="A1592" s="76">
        <v>78.0</v>
      </c>
      <c r="B1592" s="74" t="s">
        <v>28</v>
      </c>
      <c r="C1592" s="74" t="s">
        <v>29</v>
      </c>
      <c r="D1592" s="74" t="s">
        <v>11</v>
      </c>
      <c r="E1592" s="74" t="s">
        <v>12</v>
      </c>
      <c r="F1592" s="77">
        <v>9.818422467680474</v>
      </c>
    </row>
    <row r="1593">
      <c r="A1593" s="76">
        <v>41.0</v>
      </c>
      <c r="B1593" s="74" t="s">
        <v>217</v>
      </c>
      <c r="C1593" s="74" t="s">
        <v>218</v>
      </c>
      <c r="D1593" s="74" t="s">
        <v>11</v>
      </c>
      <c r="E1593" s="74" t="s">
        <v>88</v>
      </c>
      <c r="F1593" s="80">
        <v>36.718422467680476</v>
      </c>
    </row>
    <row r="1594">
      <c r="A1594" s="76">
        <v>87.0</v>
      </c>
      <c r="B1594" s="74" t="s">
        <v>243</v>
      </c>
      <c r="C1594" s="74" t="s">
        <v>244</v>
      </c>
      <c r="D1594" s="74" t="s">
        <v>30</v>
      </c>
      <c r="E1594" s="74" t="s">
        <v>85</v>
      </c>
      <c r="F1594" s="77">
        <v>12.848422467680473</v>
      </c>
    </row>
    <row r="1595">
      <c r="A1595" s="76">
        <v>16.0</v>
      </c>
      <c r="B1595" s="74" t="s">
        <v>175</v>
      </c>
      <c r="C1595" s="74" t="s">
        <v>176</v>
      </c>
      <c r="D1595" s="74" t="s">
        <v>30</v>
      </c>
      <c r="E1595" s="74" t="s">
        <v>72</v>
      </c>
      <c r="F1595" s="80">
        <v>16.598422467680475</v>
      </c>
    </row>
    <row r="1596">
      <c r="A1596" s="76">
        <v>75.0</v>
      </c>
      <c r="B1596" s="74" t="s">
        <v>238</v>
      </c>
      <c r="C1596" s="74" t="s">
        <v>239</v>
      </c>
      <c r="D1596" s="74" t="s">
        <v>11</v>
      </c>
      <c r="E1596" s="74" t="s">
        <v>88</v>
      </c>
      <c r="F1596" s="77">
        <v>32.258422467680475</v>
      </c>
    </row>
    <row r="1597">
      <c r="A1597" s="76">
        <v>35.0</v>
      </c>
      <c r="B1597" s="74" t="s">
        <v>125</v>
      </c>
      <c r="C1597" s="74" t="s">
        <v>126</v>
      </c>
      <c r="D1597" s="74" t="s">
        <v>30</v>
      </c>
      <c r="E1597" s="74" t="s">
        <v>82</v>
      </c>
      <c r="F1597" s="80">
        <v>9.958422467680473</v>
      </c>
    </row>
    <row r="1598">
      <c r="A1598" s="76">
        <v>84.0</v>
      </c>
      <c r="B1598" s="74" t="s">
        <v>141</v>
      </c>
      <c r="C1598" s="74" t="s">
        <v>142</v>
      </c>
      <c r="D1598" s="74" t="s">
        <v>11</v>
      </c>
      <c r="E1598" s="74" t="s">
        <v>56</v>
      </c>
      <c r="F1598" s="77">
        <v>75.71842246768047</v>
      </c>
    </row>
    <row r="1599">
      <c r="A1599" s="76">
        <v>74.0</v>
      </c>
      <c r="B1599" s="74" t="s">
        <v>9</v>
      </c>
      <c r="C1599" s="74" t="s">
        <v>124</v>
      </c>
      <c r="D1599" s="74" t="s">
        <v>11</v>
      </c>
      <c r="E1599" s="74" t="s">
        <v>52</v>
      </c>
      <c r="F1599" s="80">
        <v>45.16842246768047</v>
      </c>
    </row>
    <row r="1600">
      <c r="A1600" s="76">
        <v>84.0</v>
      </c>
      <c r="B1600" s="74" t="s">
        <v>141</v>
      </c>
      <c r="C1600" s="74" t="s">
        <v>142</v>
      </c>
      <c r="D1600" s="74" t="s">
        <v>11</v>
      </c>
      <c r="E1600" s="74" t="s">
        <v>12</v>
      </c>
      <c r="F1600" s="77">
        <v>9.398422467680474</v>
      </c>
    </row>
    <row r="1601">
      <c r="A1601" s="76">
        <v>57.0</v>
      </c>
      <c r="B1601" s="74" t="s">
        <v>92</v>
      </c>
      <c r="C1601" s="74" t="s">
        <v>190</v>
      </c>
      <c r="D1601" s="74" t="s">
        <v>11</v>
      </c>
      <c r="E1601" s="74" t="s">
        <v>72</v>
      </c>
      <c r="F1601" s="80">
        <v>15.008422467680473</v>
      </c>
    </row>
    <row r="1602">
      <c r="A1602" s="76">
        <v>8.0</v>
      </c>
      <c r="B1602" s="74" t="s">
        <v>108</v>
      </c>
      <c r="C1602" s="74" t="s">
        <v>109</v>
      </c>
      <c r="D1602" s="74" t="s">
        <v>30</v>
      </c>
      <c r="E1602" s="74" t="s">
        <v>39</v>
      </c>
      <c r="F1602" s="77">
        <v>21.608422467680477</v>
      </c>
    </row>
    <row r="1603">
      <c r="A1603" s="76">
        <v>65.0</v>
      </c>
      <c r="B1603" s="74" t="s">
        <v>209</v>
      </c>
      <c r="C1603" s="74" t="s">
        <v>210</v>
      </c>
      <c r="D1603" s="74" t="s">
        <v>11</v>
      </c>
      <c r="E1603" s="74" t="s">
        <v>35</v>
      </c>
      <c r="F1603" s="80">
        <v>14.558422467680472</v>
      </c>
    </row>
    <row r="1604">
      <c r="A1604" s="76">
        <v>69.0</v>
      </c>
      <c r="B1604" s="74" t="s">
        <v>108</v>
      </c>
      <c r="C1604" s="74" t="s">
        <v>145</v>
      </c>
      <c r="D1604" s="74" t="s">
        <v>30</v>
      </c>
      <c r="E1604" s="74" t="s">
        <v>94</v>
      </c>
      <c r="F1604" s="77">
        <v>28.218422467680476</v>
      </c>
    </row>
    <row r="1605">
      <c r="A1605" s="76">
        <v>77.0</v>
      </c>
      <c r="B1605" s="74" t="s">
        <v>9</v>
      </c>
      <c r="C1605" s="74" t="s">
        <v>169</v>
      </c>
      <c r="D1605" s="74" t="s">
        <v>11</v>
      </c>
      <c r="E1605" s="74" t="s">
        <v>46</v>
      </c>
      <c r="F1605" s="80">
        <v>13.748422467680474</v>
      </c>
    </row>
    <row r="1606">
      <c r="A1606" s="76">
        <v>35.0</v>
      </c>
      <c r="B1606" s="74" t="s">
        <v>125</v>
      </c>
      <c r="C1606" s="74" t="s">
        <v>126</v>
      </c>
      <c r="D1606" s="74" t="s">
        <v>30</v>
      </c>
      <c r="E1606" s="74" t="s">
        <v>46</v>
      </c>
      <c r="F1606" s="77">
        <v>12.838422467680473</v>
      </c>
    </row>
    <row r="1607">
      <c r="A1607" s="76">
        <v>19.0</v>
      </c>
      <c r="B1607" s="74" t="s">
        <v>41</v>
      </c>
      <c r="C1607" s="74" t="s">
        <v>193</v>
      </c>
      <c r="D1607" s="74" t="s">
        <v>11</v>
      </c>
      <c r="E1607" s="74" t="s">
        <v>35</v>
      </c>
      <c r="F1607" s="80">
        <v>14.708422467680473</v>
      </c>
    </row>
    <row r="1608">
      <c r="A1608" s="76">
        <v>12.0</v>
      </c>
      <c r="B1608" s="74" t="s">
        <v>188</v>
      </c>
      <c r="C1608" s="74" t="s">
        <v>189</v>
      </c>
      <c r="D1608" s="74" t="s">
        <v>11</v>
      </c>
      <c r="E1608" s="74" t="s">
        <v>60</v>
      </c>
      <c r="F1608" s="77">
        <v>47.56842246768048</v>
      </c>
    </row>
    <row r="1609">
      <c r="A1609" s="76">
        <v>15.0</v>
      </c>
      <c r="B1609" s="74" t="s">
        <v>58</v>
      </c>
      <c r="C1609" s="74" t="s">
        <v>59</v>
      </c>
      <c r="D1609" s="74" t="s">
        <v>30</v>
      </c>
      <c r="E1609" s="74" t="s">
        <v>52</v>
      </c>
      <c r="F1609" s="80">
        <v>64.81842246768046</v>
      </c>
    </row>
    <row r="1610">
      <c r="A1610" s="76">
        <v>68.0</v>
      </c>
      <c r="B1610" s="74" t="s">
        <v>41</v>
      </c>
      <c r="C1610" s="74" t="s">
        <v>42</v>
      </c>
      <c r="D1610" s="74" t="s">
        <v>30</v>
      </c>
      <c r="E1610" s="74" t="s">
        <v>35</v>
      </c>
      <c r="F1610" s="77">
        <v>13.468422467680472</v>
      </c>
    </row>
    <row r="1611">
      <c r="A1611" s="76">
        <v>30.0</v>
      </c>
      <c r="B1611" s="74" t="s">
        <v>9</v>
      </c>
      <c r="C1611" s="74" t="s">
        <v>10</v>
      </c>
      <c r="D1611" s="74" t="s">
        <v>30</v>
      </c>
      <c r="E1611" s="74" t="s">
        <v>12</v>
      </c>
      <c r="F1611" s="80">
        <v>9.118422467680473</v>
      </c>
    </row>
    <row r="1612">
      <c r="A1612" s="76">
        <v>94.0</v>
      </c>
      <c r="B1612" s="74" t="s">
        <v>207</v>
      </c>
      <c r="C1612" s="74" t="s">
        <v>237</v>
      </c>
      <c r="D1612" s="74" t="s">
        <v>30</v>
      </c>
      <c r="E1612" s="74" t="s">
        <v>79</v>
      </c>
      <c r="F1612" s="77">
        <v>35.16842246768047</v>
      </c>
    </row>
    <row r="1613">
      <c r="A1613" s="76">
        <v>43.0</v>
      </c>
      <c r="B1613" s="74" t="s">
        <v>95</v>
      </c>
      <c r="C1613" s="74" t="s">
        <v>96</v>
      </c>
      <c r="D1613" s="74" t="s">
        <v>30</v>
      </c>
      <c r="E1613" s="74" t="s">
        <v>39</v>
      </c>
      <c r="F1613" s="80">
        <v>34.69842246768047</v>
      </c>
    </row>
    <row r="1614">
      <c r="A1614" s="76">
        <v>81.0</v>
      </c>
      <c r="B1614" s="74" t="s">
        <v>54</v>
      </c>
      <c r="C1614" s="74" t="s">
        <v>55</v>
      </c>
      <c r="D1614" s="74" t="s">
        <v>30</v>
      </c>
      <c r="E1614" s="74" t="s">
        <v>12</v>
      </c>
      <c r="F1614" s="77">
        <v>9.118422467680473</v>
      </c>
    </row>
    <row r="1615">
      <c r="A1615" s="76">
        <v>36.0</v>
      </c>
      <c r="B1615" s="74" t="s">
        <v>92</v>
      </c>
      <c r="C1615" s="74" t="s">
        <v>93</v>
      </c>
      <c r="D1615" s="74" t="s">
        <v>11</v>
      </c>
      <c r="E1615" s="74" t="s">
        <v>56</v>
      </c>
      <c r="F1615" s="80">
        <v>68.46842246768047</v>
      </c>
    </row>
    <row r="1616">
      <c r="A1616" s="76">
        <v>52.0</v>
      </c>
      <c r="B1616" s="74" t="s">
        <v>181</v>
      </c>
      <c r="C1616" s="74" t="s">
        <v>182</v>
      </c>
      <c r="D1616" s="74" t="s">
        <v>11</v>
      </c>
      <c r="E1616" s="74" t="s">
        <v>35</v>
      </c>
      <c r="F1616" s="77">
        <v>13.708422467680473</v>
      </c>
    </row>
    <row r="1617">
      <c r="A1617" s="76">
        <v>61.0</v>
      </c>
      <c r="B1617" s="74" t="s">
        <v>106</v>
      </c>
      <c r="C1617" s="74" t="s">
        <v>107</v>
      </c>
      <c r="D1617" s="74" t="s">
        <v>11</v>
      </c>
      <c r="E1617" s="74" t="s">
        <v>35</v>
      </c>
      <c r="F1617" s="80">
        <v>17.628422467680476</v>
      </c>
    </row>
    <row r="1618">
      <c r="A1618" s="76">
        <v>26.0</v>
      </c>
      <c r="B1618" s="74" t="s">
        <v>211</v>
      </c>
      <c r="C1618" s="74" t="s">
        <v>212</v>
      </c>
      <c r="D1618" s="74" t="s">
        <v>30</v>
      </c>
      <c r="E1618" s="74" t="s">
        <v>31</v>
      </c>
      <c r="F1618" s="77">
        <v>51.83842246768047</v>
      </c>
    </row>
    <row r="1619">
      <c r="A1619" s="76">
        <v>65.0</v>
      </c>
      <c r="B1619" s="74" t="s">
        <v>209</v>
      </c>
      <c r="C1619" s="74" t="s">
        <v>210</v>
      </c>
      <c r="D1619" s="74" t="s">
        <v>30</v>
      </c>
      <c r="E1619" s="74" t="s">
        <v>76</v>
      </c>
      <c r="F1619" s="80">
        <v>9.558422467680472</v>
      </c>
    </row>
    <row r="1620">
      <c r="A1620" s="76">
        <v>20.0</v>
      </c>
      <c r="B1620" s="74" t="s">
        <v>161</v>
      </c>
      <c r="C1620" s="74" t="s">
        <v>162</v>
      </c>
      <c r="D1620" s="74" t="s">
        <v>30</v>
      </c>
      <c r="E1620" s="74" t="s">
        <v>72</v>
      </c>
      <c r="F1620" s="77">
        <v>22.608422467680477</v>
      </c>
    </row>
    <row r="1621">
      <c r="A1621" s="76">
        <v>11.0</v>
      </c>
      <c r="B1621" s="74" t="s">
        <v>227</v>
      </c>
      <c r="C1621" s="74" t="s">
        <v>228</v>
      </c>
      <c r="D1621" s="74" t="s">
        <v>11</v>
      </c>
      <c r="E1621" s="74" t="s">
        <v>91</v>
      </c>
      <c r="F1621" s="80">
        <v>1.868422467680474</v>
      </c>
    </row>
    <row r="1622">
      <c r="A1622" s="76">
        <v>34.0</v>
      </c>
      <c r="B1622" s="74" t="s">
        <v>177</v>
      </c>
      <c r="C1622" s="74" t="s">
        <v>178</v>
      </c>
      <c r="D1622" s="74" t="s">
        <v>11</v>
      </c>
      <c r="E1622" s="74" t="s">
        <v>56</v>
      </c>
      <c r="F1622" s="77">
        <v>71.85842246768047</v>
      </c>
    </row>
    <row r="1623">
      <c r="A1623" s="76">
        <v>27.0</v>
      </c>
      <c r="B1623" s="74" t="s">
        <v>173</v>
      </c>
      <c r="C1623" s="74" t="s">
        <v>174</v>
      </c>
      <c r="D1623" s="74" t="s">
        <v>30</v>
      </c>
      <c r="E1623" s="74" t="s">
        <v>72</v>
      </c>
      <c r="F1623" s="80">
        <v>17.218422467680476</v>
      </c>
    </row>
    <row r="1624">
      <c r="A1624" s="76">
        <v>47.0</v>
      </c>
      <c r="B1624" s="74" t="s">
        <v>120</v>
      </c>
      <c r="C1624" s="74" t="s">
        <v>121</v>
      </c>
      <c r="D1624" s="74" t="s">
        <v>30</v>
      </c>
      <c r="E1624" s="74" t="s">
        <v>82</v>
      </c>
      <c r="F1624" s="77">
        <v>9.828422467680474</v>
      </c>
    </row>
    <row r="1625">
      <c r="A1625" s="76">
        <v>24.0</v>
      </c>
      <c r="B1625" s="74" t="s">
        <v>139</v>
      </c>
      <c r="C1625" s="74" t="s">
        <v>140</v>
      </c>
      <c r="D1625" s="74" t="s">
        <v>11</v>
      </c>
      <c r="E1625" s="74" t="s">
        <v>79</v>
      </c>
      <c r="F1625" s="80">
        <v>29.948422467680476</v>
      </c>
    </row>
    <row r="1626">
      <c r="A1626" s="76">
        <v>49.0</v>
      </c>
      <c r="B1626" s="74" t="s">
        <v>179</v>
      </c>
      <c r="C1626" s="74" t="s">
        <v>180</v>
      </c>
      <c r="D1626" s="74" t="s">
        <v>30</v>
      </c>
      <c r="E1626" s="74" t="s">
        <v>31</v>
      </c>
      <c r="F1626" s="77">
        <v>48.718422467680476</v>
      </c>
    </row>
    <row r="1627">
      <c r="A1627" s="76">
        <v>29.0</v>
      </c>
      <c r="B1627" s="74" t="s">
        <v>122</v>
      </c>
      <c r="C1627" s="74" t="s">
        <v>123</v>
      </c>
      <c r="D1627" s="74" t="s">
        <v>11</v>
      </c>
      <c r="E1627" s="74" t="s">
        <v>46</v>
      </c>
      <c r="F1627" s="80">
        <v>12.468422467680472</v>
      </c>
    </row>
    <row r="1628">
      <c r="A1628" s="76">
        <v>16.0</v>
      </c>
      <c r="B1628" s="74" t="s">
        <v>175</v>
      </c>
      <c r="C1628" s="74" t="s">
        <v>176</v>
      </c>
      <c r="D1628" s="74" t="s">
        <v>30</v>
      </c>
      <c r="E1628" s="74" t="s">
        <v>35</v>
      </c>
      <c r="F1628" s="77">
        <v>14.358422467680473</v>
      </c>
    </row>
    <row r="1629">
      <c r="A1629" s="76">
        <v>69.0</v>
      </c>
      <c r="B1629" s="74" t="s">
        <v>108</v>
      </c>
      <c r="C1629" s="74" t="s">
        <v>145</v>
      </c>
      <c r="D1629" s="74" t="s">
        <v>11</v>
      </c>
      <c r="E1629" s="74" t="s">
        <v>31</v>
      </c>
      <c r="F1629" s="80">
        <v>53.27842246768048</v>
      </c>
    </row>
    <row r="1630">
      <c r="A1630" s="76">
        <v>13.0</v>
      </c>
      <c r="B1630" s="74" t="s">
        <v>137</v>
      </c>
      <c r="C1630" s="74" t="s">
        <v>138</v>
      </c>
      <c r="D1630" s="74" t="s">
        <v>30</v>
      </c>
      <c r="E1630" s="74" t="s">
        <v>50</v>
      </c>
      <c r="F1630" s="77">
        <v>28.298422467680474</v>
      </c>
    </row>
    <row r="1631">
      <c r="A1631" s="76">
        <v>62.0</v>
      </c>
      <c r="B1631" s="74" t="s">
        <v>156</v>
      </c>
      <c r="C1631" s="74" t="s">
        <v>157</v>
      </c>
      <c r="D1631" s="74" t="s">
        <v>30</v>
      </c>
      <c r="E1631" s="74" t="s">
        <v>82</v>
      </c>
      <c r="F1631" s="80">
        <v>10.978422467680472</v>
      </c>
    </row>
    <row r="1632">
      <c r="A1632" s="76">
        <v>92.0</v>
      </c>
      <c r="B1632" s="74" t="s">
        <v>112</v>
      </c>
      <c r="C1632" s="74" t="s">
        <v>197</v>
      </c>
      <c r="D1632" s="74" t="s">
        <v>30</v>
      </c>
      <c r="E1632" s="74" t="s">
        <v>39</v>
      </c>
      <c r="F1632" s="77">
        <v>38.578422467680475</v>
      </c>
    </row>
    <row r="1633">
      <c r="A1633" s="76">
        <v>79.0</v>
      </c>
      <c r="B1633" s="74" t="s">
        <v>101</v>
      </c>
      <c r="C1633" s="74" t="s">
        <v>102</v>
      </c>
      <c r="D1633" s="74" t="s">
        <v>11</v>
      </c>
      <c r="E1633" s="74" t="s">
        <v>31</v>
      </c>
      <c r="F1633" s="80">
        <v>51.70842246768048</v>
      </c>
    </row>
    <row r="1634">
      <c r="A1634" s="76">
        <v>40.0</v>
      </c>
      <c r="B1634" s="74" t="s">
        <v>122</v>
      </c>
      <c r="C1634" s="74" t="s">
        <v>185</v>
      </c>
      <c r="D1634" s="74" t="s">
        <v>11</v>
      </c>
      <c r="E1634" s="74" t="s">
        <v>91</v>
      </c>
      <c r="F1634" s="77">
        <v>1.2184224676804736</v>
      </c>
    </row>
    <row r="1635">
      <c r="A1635" s="76">
        <v>71.0</v>
      </c>
      <c r="B1635" s="74" t="s">
        <v>150</v>
      </c>
      <c r="C1635" s="74" t="s">
        <v>151</v>
      </c>
      <c r="D1635" s="74" t="s">
        <v>30</v>
      </c>
      <c r="E1635" s="74" t="s">
        <v>52</v>
      </c>
      <c r="F1635" s="80">
        <v>56.42842246768048</v>
      </c>
    </row>
    <row r="1636">
      <c r="A1636" s="76">
        <v>14.0</v>
      </c>
      <c r="B1636" s="74" t="s">
        <v>171</v>
      </c>
      <c r="C1636" s="74" t="s">
        <v>172</v>
      </c>
      <c r="D1636" s="74" t="s">
        <v>11</v>
      </c>
      <c r="E1636" s="74" t="s">
        <v>52</v>
      </c>
      <c r="F1636" s="77">
        <v>56.728422467680474</v>
      </c>
    </row>
    <row r="1637">
      <c r="A1637" s="76">
        <v>22.0</v>
      </c>
      <c r="B1637" s="74" t="s">
        <v>131</v>
      </c>
      <c r="C1637" s="74" t="s">
        <v>132</v>
      </c>
      <c r="D1637" s="74" t="s">
        <v>11</v>
      </c>
      <c r="E1637" s="74" t="s">
        <v>35</v>
      </c>
      <c r="F1637" s="80">
        <v>20.178422467680473</v>
      </c>
    </row>
    <row r="1638">
      <c r="A1638" s="76">
        <v>68.0</v>
      </c>
      <c r="B1638" s="74" t="s">
        <v>41</v>
      </c>
      <c r="C1638" s="74" t="s">
        <v>42</v>
      </c>
      <c r="D1638" s="74" t="s">
        <v>30</v>
      </c>
      <c r="E1638" s="74" t="s">
        <v>79</v>
      </c>
      <c r="F1638" s="77">
        <v>36.438422467680475</v>
      </c>
    </row>
    <row r="1639">
      <c r="A1639" s="76">
        <v>63.0</v>
      </c>
      <c r="B1639" s="74" t="s">
        <v>225</v>
      </c>
      <c r="C1639" s="74" t="s">
        <v>226</v>
      </c>
      <c r="D1639" s="74" t="s">
        <v>11</v>
      </c>
      <c r="E1639" s="74" t="s">
        <v>88</v>
      </c>
      <c r="F1639" s="80">
        <v>35.35842246768048</v>
      </c>
    </row>
    <row r="1640">
      <c r="A1640" s="76">
        <v>59.0</v>
      </c>
      <c r="B1640" s="74" t="s">
        <v>103</v>
      </c>
      <c r="C1640" s="74" t="s">
        <v>104</v>
      </c>
      <c r="D1640" s="74" t="s">
        <v>11</v>
      </c>
      <c r="E1640" s="74" t="s">
        <v>97</v>
      </c>
      <c r="F1640" s="77">
        <v>0.9084224676804737</v>
      </c>
    </row>
    <row r="1641">
      <c r="A1641" s="76">
        <v>52.0</v>
      </c>
      <c r="B1641" s="74" t="s">
        <v>181</v>
      </c>
      <c r="C1641" s="74" t="s">
        <v>182</v>
      </c>
      <c r="D1641" s="74" t="s">
        <v>30</v>
      </c>
      <c r="E1641" s="74" t="s">
        <v>76</v>
      </c>
      <c r="F1641" s="80">
        <v>9.818422467680474</v>
      </c>
    </row>
    <row r="1642">
      <c r="A1642" s="76">
        <v>44.0</v>
      </c>
      <c r="B1642" s="74" t="s">
        <v>215</v>
      </c>
      <c r="C1642" s="74" t="s">
        <v>216</v>
      </c>
      <c r="D1642" s="74" t="s">
        <v>30</v>
      </c>
      <c r="E1642" s="74" t="s">
        <v>97</v>
      </c>
      <c r="F1642" s="77">
        <v>1.4384224676804738</v>
      </c>
    </row>
    <row r="1643">
      <c r="A1643" s="76">
        <v>60.0</v>
      </c>
      <c r="B1643" s="74" t="s">
        <v>65</v>
      </c>
      <c r="C1643" s="74" t="s">
        <v>66</v>
      </c>
      <c r="D1643" s="74" t="s">
        <v>11</v>
      </c>
      <c r="E1643" s="74" t="s">
        <v>31</v>
      </c>
      <c r="F1643" s="80">
        <v>37.12842246768047</v>
      </c>
    </row>
    <row r="1644">
      <c r="A1644" s="76">
        <v>52.0</v>
      </c>
      <c r="B1644" s="74" t="s">
        <v>181</v>
      </c>
      <c r="C1644" s="74" t="s">
        <v>182</v>
      </c>
      <c r="D1644" s="74" t="s">
        <v>30</v>
      </c>
      <c r="E1644" s="74" t="s">
        <v>56</v>
      </c>
      <c r="F1644" s="77">
        <v>73.19842246768047</v>
      </c>
    </row>
    <row r="1645">
      <c r="A1645" s="76">
        <v>11.0</v>
      </c>
      <c r="B1645" s="74" t="s">
        <v>227</v>
      </c>
      <c r="C1645" s="74" t="s">
        <v>228</v>
      </c>
      <c r="D1645" s="74" t="s">
        <v>30</v>
      </c>
      <c r="E1645" s="74" t="s">
        <v>35</v>
      </c>
      <c r="F1645" s="80">
        <v>19.468422467680476</v>
      </c>
    </row>
    <row r="1646">
      <c r="A1646" s="76">
        <v>18.0</v>
      </c>
      <c r="B1646" s="74" t="s">
        <v>163</v>
      </c>
      <c r="C1646" s="74" t="s">
        <v>240</v>
      </c>
      <c r="D1646" s="74" t="s">
        <v>30</v>
      </c>
      <c r="E1646" s="74" t="s">
        <v>79</v>
      </c>
      <c r="F1646" s="77">
        <v>33.258422467680475</v>
      </c>
    </row>
    <row r="1647">
      <c r="A1647" s="76">
        <v>90.0</v>
      </c>
      <c r="B1647" s="74" t="s">
        <v>219</v>
      </c>
      <c r="C1647" s="74" t="s">
        <v>220</v>
      </c>
      <c r="D1647" s="74" t="s">
        <v>11</v>
      </c>
      <c r="E1647" s="74" t="s">
        <v>88</v>
      </c>
      <c r="F1647" s="80">
        <v>37.94842246768047</v>
      </c>
    </row>
    <row r="1648">
      <c r="A1648" s="76">
        <v>48.0</v>
      </c>
      <c r="B1648" s="74" t="s">
        <v>41</v>
      </c>
      <c r="C1648" s="74" t="s">
        <v>45</v>
      </c>
      <c r="D1648" s="74" t="s">
        <v>30</v>
      </c>
      <c r="E1648" s="74" t="s">
        <v>79</v>
      </c>
      <c r="F1648" s="77">
        <v>27.408422467680474</v>
      </c>
    </row>
    <row r="1649">
      <c r="A1649" s="76">
        <v>15.0</v>
      </c>
      <c r="B1649" s="74" t="s">
        <v>58</v>
      </c>
      <c r="C1649" s="74" t="s">
        <v>59</v>
      </c>
      <c r="D1649" s="74" t="s">
        <v>30</v>
      </c>
      <c r="E1649" s="74" t="s">
        <v>46</v>
      </c>
      <c r="F1649" s="80">
        <v>11.348422467680473</v>
      </c>
    </row>
    <row r="1650">
      <c r="A1650" s="76">
        <v>5.0</v>
      </c>
      <c r="B1650" s="74" t="s">
        <v>167</v>
      </c>
      <c r="C1650" s="74" t="s">
        <v>168</v>
      </c>
      <c r="D1650" s="74" t="s">
        <v>11</v>
      </c>
      <c r="E1650" s="74" t="s">
        <v>39</v>
      </c>
      <c r="F1650" s="77">
        <v>32.438422467680475</v>
      </c>
    </row>
    <row r="1651">
      <c r="A1651" s="76">
        <v>86.0</v>
      </c>
      <c r="B1651" s="74" t="s">
        <v>62</v>
      </c>
      <c r="C1651" s="74" t="s">
        <v>63</v>
      </c>
      <c r="D1651" s="74" t="s">
        <v>30</v>
      </c>
      <c r="E1651" s="74" t="s">
        <v>60</v>
      </c>
      <c r="F1651" s="80">
        <v>51.24842246768048</v>
      </c>
    </row>
    <row r="1652">
      <c r="A1652" s="76">
        <v>55.0</v>
      </c>
      <c r="B1652" s="74" t="s">
        <v>202</v>
      </c>
      <c r="C1652" s="74" t="s">
        <v>203</v>
      </c>
      <c r="D1652" s="74" t="s">
        <v>11</v>
      </c>
      <c r="E1652" s="74" t="s">
        <v>50</v>
      </c>
      <c r="F1652" s="77">
        <v>28.228422467680474</v>
      </c>
    </row>
    <row r="1653">
      <c r="A1653" s="76">
        <v>49.0</v>
      </c>
      <c r="B1653" s="74" t="s">
        <v>179</v>
      </c>
      <c r="C1653" s="74" t="s">
        <v>180</v>
      </c>
      <c r="D1653" s="74" t="s">
        <v>11</v>
      </c>
      <c r="E1653" s="74" t="s">
        <v>79</v>
      </c>
      <c r="F1653" s="80">
        <v>33.49842246768048</v>
      </c>
    </row>
    <row r="1654">
      <c r="A1654" s="76">
        <v>74.0</v>
      </c>
      <c r="B1654" s="74" t="s">
        <v>9</v>
      </c>
      <c r="C1654" s="74" t="s">
        <v>124</v>
      </c>
      <c r="D1654" s="74" t="s">
        <v>30</v>
      </c>
      <c r="E1654" s="74" t="s">
        <v>31</v>
      </c>
      <c r="F1654" s="77">
        <v>35.74842246768048</v>
      </c>
    </row>
    <row r="1655">
      <c r="A1655" s="76">
        <v>8.0</v>
      </c>
      <c r="B1655" s="74" t="s">
        <v>108</v>
      </c>
      <c r="C1655" s="74" t="s">
        <v>109</v>
      </c>
      <c r="D1655" s="74" t="s">
        <v>11</v>
      </c>
      <c r="E1655" s="74" t="s">
        <v>52</v>
      </c>
      <c r="F1655" s="80">
        <v>64.37842246768047</v>
      </c>
    </row>
    <row r="1656">
      <c r="A1656" s="76">
        <v>72.0</v>
      </c>
      <c r="B1656" s="74" t="s">
        <v>133</v>
      </c>
      <c r="C1656" s="74" t="s">
        <v>134</v>
      </c>
      <c r="D1656" s="74" t="s">
        <v>30</v>
      </c>
      <c r="E1656" s="74" t="s">
        <v>68</v>
      </c>
      <c r="F1656" s="77">
        <v>13.818422467680474</v>
      </c>
    </row>
    <row r="1657">
      <c r="A1657" s="76">
        <v>21.0</v>
      </c>
      <c r="B1657" s="74" t="s">
        <v>186</v>
      </c>
      <c r="C1657" s="74" t="s">
        <v>187</v>
      </c>
      <c r="D1657" s="74" t="s">
        <v>11</v>
      </c>
      <c r="E1657" s="74" t="s">
        <v>88</v>
      </c>
      <c r="F1657" s="80">
        <v>37.55842246768047</v>
      </c>
    </row>
    <row r="1658">
      <c r="A1658" s="76">
        <v>55.0</v>
      </c>
      <c r="B1658" s="74" t="s">
        <v>202</v>
      </c>
      <c r="C1658" s="74" t="s">
        <v>203</v>
      </c>
      <c r="D1658" s="74" t="s">
        <v>11</v>
      </c>
      <c r="E1658" s="74" t="s">
        <v>88</v>
      </c>
      <c r="F1658" s="77">
        <v>32.81842246768048</v>
      </c>
    </row>
    <row r="1659">
      <c r="A1659" s="76">
        <v>3.0</v>
      </c>
      <c r="B1659" s="74" t="s">
        <v>80</v>
      </c>
      <c r="C1659" s="74" t="s">
        <v>81</v>
      </c>
      <c r="D1659" s="74" t="s">
        <v>30</v>
      </c>
      <c r="E1659" s="74" t="s">
        <v>94</v>
      </c>
      <c r="F1659" s="80">
        <v>26.898422467680476</v>
      </c>
    </row>
    <row r="1660">
      <c r="A1660" s="76">
        <v>23.0</v>
      </c>
      <c r="B1660" s="74" t="s">
        <v>235</v>
      </c>
      <c r="C1660" s="74" t="s">
        <v>236</v>
      </c>
      <c r="D1660" s="74" t="s">
        <v>11</v>
      </c>
      <c r="E1660" s="74" t="s">
        <v>82</v>
      </c>
      <c r="F1660" s="77">
        <v>10.608422467680473</v>
      </c>
    </row>
    <row r="1661">
      <c r="A1661" s="76">
        <v>64.0</v>
      </c>
      <c r="B1661" s="74" t="s">
        <v>159</v>
      </c>
      <c r="C1661" s="74" t="s">
        <v>160</v>
      </c>
      <c r="D1661" s="74" t="s">
        <v>30</v>
      </c>
      <c r="E1661" s="74" t="s">
        <v>85</v>
      </c>
      <c r="F1661" s="80">
        <v>14.918422467680474</v>
      </c>
    </row>
    <row r="1662">
      <c r="A1662" s="76">
        <v>58.0</v>
      </c>
      <c r="B1662" s="74" t="s">
        <v>165</v>
      </c>
      <c r="C1662" s="74" t="s">
        <v>166</v>
      </c>
      <c r="D1662" s="74" t="s">
        <v>30</v>
      </c>
      <c r="E1662" s="74" t="s">
        <v>88</v>
      </c>
      <c r="F1662" s="77">
        <v>31.538422467680476</v>
      </c>
    </row>
    <row r="1663">
      <c r="A1663" s="76">
        <v>65.0</v>
      </c>
      <c r="B1663" s="74" t="s">
        <v>209</v>
      </c>
      <c r="C1663" s="74" t="s">
        <v>210</v>
      </c>
      <c r="D1663" s="74" t="s">
        <v>30</v>
      </c>
      <c r="E1663" s="74" t="s">
        <v>39</v>
      </c>
      <c r="F1663" s="80">
        <v>37.60842246768048</v>
      </c>
    </row>
    <row r="1664">
      <c r="A1664" s="76">
        <v>20.0</v>
      </c>
      <c r="B1664" s="74" t="s">
        <v>161</v>
      </c>
      <c r="C1664" s="74" t="s">
        <v>162</v>
      </c>
      <c r="D1664" s="74" t="s">
        <v>11</v>
      </c>
      <c r="E1664" s="74" t="s">
        <v>43</v>
      </c>
      <c r="F1664" s="77">
        <v>17.248422467680474</v>
      </c>
    </row>
    <row r="1665">
      <c r="A1665" s="76">
        <v>82.0</v>
      </c>
      <c r="B1665" s="74" t="s">
        <v>231</v>
      </c>
      <c r="C1665" s="74" t="s">
        <v>232</v>
      </c>
      <c r="D1665" s="74" t="s">
        <v>11</v>
      </c>
      <c r="E1665" s="74" t="s">
        <v>82</v>
      </c>
      <c r="F1665" s="80">
        <v>10.878422467680473</v>
      </c>
    </row>
    <row r="1666">
      <c r="A1666" s="76">
        <v>50.0</v>
      </c>
      <c r="B1666" s="74" t="s">
        <v>33</v>
      </c>
      <c r="C1666" s="74" t="s">
        <v>34</v>
      </c>
      <c r="D1666" s="74" t="s">
        <v>11</v>
      </c>
      <c r="E1666" s="74" t="s">
        <v>76</v>
      </c>
      <c r="F1666" s="77">
        <v>9.668422467680474</v>
      </c>
    </row>
    <row r="1667">
      <c r="A1667" s="76">
        <v>10.0</v>
      </c>
      <c r="B1667" s="74" t="s">
        <v>148</v>
      </c>
      <c r="C1667" s="74" t="s">
        <v>149</v>
      </c>
      <c r="D1667" s="74" t="s">
        <v>11</v>
      </c>
      <c r="E1667" s="74" t="s">
        <v>60</v>
      </c>
      <c r="F1667" s="80">
        <v>52.20842246768048</v>
      </c>
    </row>
    <row r="1668">
      <c r="A1668" s="76">
        <v>83.0</v>
      </c>
      <c r="B1668" s="74" t="s">
        <v>98</v>
      </c>
      <c r="C1668" s="74" t="s">
        <v>99</v>
      </c>
      <c r="D1668" s="74" t="s">
        <v>11</v>
      </c>
      <c r="E1668" s="74" t="s">
        <v>60</v>
      </c>
      <c r="F1668" s="77">
        <v>54.938422467680475</v>
      </c>
    </row>
    <row r="1669">
      <c r="A1669" s="76">
        <v>94.0</v>
      </c>
      <c r="B1669" s="74" t="s">
        <v>207</v>
      </c>
      <c r="C1669" s="74" t="s">
        <v>237</v>
      </c>
      <c r="D1669" s="74" t="s">
        <v>11</v>
      </c>
      <c r="E1669" s="74" t="s">
        <v>76</v>
      </c>
      <c r="F1669" s="80">
        <v>10.248422467680474</v>
      </c>
    </row>
    <row r="1670">
      <c r="A1670" s="76">
        <v>55.0</v>
      </c>
      <c r="B1670" s="74" t="s">
        <v>202</v>
      </c>
      <c r="C1670" s="74" t="s">
        <v>203</v>
      </c>
      <c r="D1670" s="74" t="s">
        <v>11</v>
      </c>
      <c r="E1670" s="74" t="s">
        <v>46</v>
      </c>
      <c r="F1670" s="77">
        <v>12.808422467680472</v>
      </c>
    </row>
    <row r="1671">
      <c r="A1671" s="76">
        <v>86.0</v>
      </c>
      <c r="B1671" s="74" t="s">
        <v>62</v>
      </c>
      <c r="C1671" s="74" t="s">
        <v>63</v>
      </c>
      <c r="D1671" s="74" t="s">
        <v>11</v>
      </c>
      <c r="E1671" s="74" t="s">
        <v>72</v>
      </c>
      <c r="F1671" s="80">
        <v>17.018422467680473</v>
      </c>
    </row>
    <row r="1672">
      <c r="A1672" s="76">
        <v>91.0</v>
      </c>
      <c r="B1672" s="74" t="s">
        <v>112</v>
      </c>
      <c r="C1672" s="74" t="s">
        <v>113</v>
      </c>
      <c r="D1672" s="74" t="s">
        <v>30</v>
      </c>
      <c r="E1672" s="74" t="s">
        <v>82</v>
      </c>
      <c r="F1672" s="77">
        <v>9.408422467680474</v>
      </c>
    </row>
    <row r="1673">
      <c r="A1673" s="76">
        <v>8.0</v>
      </c>
      <c r="B1673" s="74" t="s">
        <v>108</v>
      </c>
      <c r="C1673" s="74" t="s">
        <v>109</v>
      </c>
      <c r="D1673" s="74" t="s">
        <v>11</v>
      </c>
      <c r="E1673" s="74" t="s">
        <v>12</v>
      </c>
      <c r="F1673" s="80">
        <v>9.578422467680474</v>
      </c>
    </row>
    <row r="1674">
      <c r="A1674" s="76">
        <v>60.0</v>
      </c>
      <c r="B1674" s="74" t="s">
        <v>65</v>
      </c>
      <c r="C1674" s="74" t="s">
        <v>66</v>
      </c>
      <c r="D1674" s="74" t="s">
        <v>30</v>
      </c>
      <c r="E1674" s="74" t="s">
        <v>46</v>
      </c>
      <c r="F1674" s="77">
        <v>12.568422467680474</v>
      </c>
    </row>
    <row r="1675">
      <c r="A1675" s="76">
        <v>80.0</v>
      </c>
      <c r="B1675" s="74" t="s">
        <v>37</v>
      </c>
      <c r="C1675" s="74" t="s">
        <v>38</v>
      </c>
      <c r="D1675" s="74" t="s">
        <v>30</v>
      </c>
      <c r="E1675" s="74" t="s">
        <v>12</v>
      </c>
      <c r="F1675" s="80">
        <v>9.628422467680473</v>
      </c>
    </row>
    <row r="1676">
      <c r="A1676" s="76">
        <v>20.0</v>
      </c>
      <c r="B1676" s="74" t="s">
        <v>161</v>
      </c>
      <c r="C1676" s="74" t="s">
        <v>162</v>
      </c>
      <c r="D1676" s="74" t="s">
        <v>11</v>
      </c>
      <c r="E1676" s="74" t="s">
        <v>60</v>
      </c>
      <c r="F1676" s="77">
        <v>56.31842246768048</v>
      </c>
    </row>
    <row r="1677">
      <c r="A1677" s="76">
        <v>83.0</v>
      </c>
      <c r="B1677" s="74" t="s">
        <v>98</v>
      </c>
      <c r="C1677" s="74" t="s">
        <v>99</v>
      </c>
      <c r="D1677" s="74" t="s">
        <v>30</v>
      </c>
      <c r="E1677" s="74" t="s">
        <v>91</v>
      </c>
      <c r="F1677" s="80">
        <v>1.3784224676804737</v>
      </c>
    </row>
    <row r="1678">
      <c r="A1678" s="76">
        <v>56.0</v>
      </c>
      <c r="B1678" s="74" t="s">
        <v>127</v>
      </c>
      <c r="C1678" s="74" t="s">
        <v>128</v>
      </c>
      <c r="D1678" s="74" t="s">
        <v>30</v>
      </c>
      <c r="E1678" s="74" t="s">
        <v>72</v>
      </c>
      <c r="F1678" s="77">
        <v>13.378422467680473</v>
      </c>
    </row>
    <row r="1679">
      <c r="A1679" s="76">
        <v>87.0</v>
      </c>
      <c r="B1679" s="74" t="s">
        <v>243</v>
      </c>
      <c r="C1679" s="74" t="s">
        <v>244</v>
      </c>
      <c r="D1679" s="74" t="s">
        <v>30</v>
      </c>
      <c r="E1679" s="74" t="s">
        <v>82</v>
      </c>
      <c r="F1679" s="80">
        <v>13.738422467680474</v>
      </c>
    </row>
    <row r="1680">
      <c r="A1680" s="76">
        <v>5.0</v>
      </c>
      <c r="B1680" s="74" t="s">
        <v>167</v>
      </c>
      <c r="C1680" s="74" t="s">
        <v>168</v>
      </c>
      <c r="D1680" s="74" t="s">
        <v>30</v>
      </c>
      <c r="E1680" s="74" t="s">
        <v>76</v>
      </c>
      <c r="F1680" s="77">
        <v>9.778422467680473</v>
      </c>
    </row>
    <row r="1681">
      <c r="A1681" s="76">
        <v>28.0</v>
      </c>
      <c r="B1681" s="74" t="s">
        <v>77</v>
      </c>
      <c r="C1681" s="74" t="s">
        <v>78</v>
      </c>
      <c r="D1681" s="74" t="s">
        <v>30</v>
      </c>
      <c r="E1681" s="74" t="s">
        <v>46</v>
      </c>
      <c r="F1681" s="80">
        <v>13.598422467680473</v>
      </c>
    </row>
    <row r="1682">
      <c r="A1682" s="76">
        <v>11.0</v>
      </c>
      <c r="B1682" s="74" t="s">
        <v>227</v>
      </c>
      <c r="C1682" s="74" t="s">
        <v>228</v>
      </c>
      <c r="D1682" s="74" t="s">
        <v>30</v>
      </c>
      <c r="E1682" s="74" t="s">
        <v>35</v>
      </c>
      <c r="F1682" s="77">
        <v>11.438422467680473</v>
      </c>
    </row>
    <row r="1683">
      <c r="A1683" s="76">
        <v>48.0</v>
      </c>
      <c r="B1683" s="74" t="s">
        <v>41</v>
      </c>
      <c r="C1683" s="74" t="s">
        <v>45</v>
      </c>
      <c r="D1683" s="74" t="s">
        <v>30</v>
      </c>
      <c r="E1683" s="74" t="s">
        <v>39</v>
      </c>
      <c r="F1683" s="80">
        <v>27.608422467680477</v>
      </c>
    </row>
    <row r="1684">
      <c r="A1684" s="76">
        <v>47.0</v>
      </c>
      <c r="B1684" s="74" t="s">
        <v>120</v>
      </c>
      <c r="C1684" s="74" t="s">
        <v>121</v>
      </c>
      <c r="D1684" s="74" t="s">
        <v>30</v>
      </c>
      <c r="E1684" s="74" t="s">
        <v>97</v>
      </c>
      <c r="F1684" s="77">
        <v>2.858422467680474</v>
      </c>
    </row>
    <row r="1685">
      <c r="A1685" s="76">
        <v>29.0</v>
      </c>
      <c r="B1685" s="74" t="s">
        <v>122</v>
      </c>
      <c r="C1685" s="74" t="s">
        <v>123</v>
      </c>
      <c r="D1685" s="74" t="s">
        <v>30</v>
      </c>
      <c r="E1685" s="74" t="s">
        <v>39</v>
      </c>
      <c r="F1685" s="80">
        <v>34.01842246768047</v>
      </c>
    </row>
    <row r="1686">
      <c r="A1686" s="76">
        <v>30.0</v>
      </c>
      <c r="B1686" s="74" t="s">
        <v>9</v>
      </c>
      <c r="C1686" s="74" t="s">
        <v>10</v>
      </c>
      <c r="D1686" s="74" t="s">
        <v>11</v>
      </c>
      <c r="E1686" s="74" t="s">
        <v>94</v>
      </c>
      <c r="F1686" s="77">
        <v>26.008422467680475</v>
      </c>
    </row>
    <row r="1687">
      <c r="A1687" s="76">
        <v>55.0</v>
      </c>
      <c r="B1687" s="74" t="s">
        <v>202</v>
      </c>
      <c r="C1687" s="74" t="s">
        <v>203</v>
      </c>
      <c r="D1687" s="74" t="s">
        <v>30</v>
      </c>
      <c r="E1687" s="74" t="s">
        <v>68</v>
      </c>
      <c r="F1687" s="80">
        <v>12.188422467680473</v>
      </c>
    </row>
    <row r="1688">
      <c r="A1688" s="76">
        <v>80.0</v>
      </c>
      <c r="B1688" s="74" t="s">
        <v>37</v>
      </c>
      <c r="C1688" s="74" t="s">
        <v>38</v>
      </c>
      <c r="D1688" s="74" t="s">
        <v>30</v>
      </c>
      <c r="E1688" s="74" t="s">
        <v>97</v>
      </c>
      <c r="F1688" s="77">
        <v>1.928422467680474</v>
      </c>
    </row>
    <row r="1689">
      <c r="A1689" s="76">
        <v>80.0</v>
      </c>
      <c r="B1689" s="74" t="s">
        <v>37</v>
      </c>
      <c r="C1689" s="74" t="s">
        <v>38</v>
      </c>
      <c r="D1689" s="74" t="s">
        <v>11</v>
      </c>
      <c r="E1689" s="74" t="s">
        <v>31</v>
      </c>
      <c r="F1689" s="80">
        <v>38.17842246768048</v>
      </c>
    </row>
    <row r="1690">
      <c r="A1690" s="76">
        <v>77.0</v>
      </c>
      <c r="B1690" s="74" t="s">
        <v>9</v>
      </c>
      <c r="C1690" s="74" t="s">
        <v>169</v>
      </c>
      <c r="D1690" s="74" t="s">
        <v>11</v>
      </c>
      <c r="E1690" s="74" t="s">
        <v>31</v>
      </c>
      <c r="F1690" s="77">
        <v>55.06842246768048</v>
      </c>
    </row>
    <row r="1691">
      <c r="A1691" s="76">
        <v>30.0</v>
      </c>
      <c r="B1691" s="74" t="s">
        <v>9</v>
      </c>
      <c r="C1691" s="74" t="s">
        <v>10</v>
      </c>
      <c r="D1691" s="74" t="s">
        <v>11</v>
      </c>
      <c r="E1691" s="74" t="s">
        <v>46</v>
      </c>
      <c r="F1691" s="80">
        <v>13.868422467680473</v>
      </c>
    </row>
    <row r="1692">
      <c r="A1692" s="76">
        <v>5.0</v>
      </c>
      <c r="B1692" s="74" t="s">
        <v>167</v>
      </c>
      <c r="C1692" s="74" t="s">
        <v>168</v>
      </c>
      <c r="D1692" s="74" t="s">
        <v>30</v>
      </c>
      <c r="E1692" s="74" t="s">
        <v>43</v>
      </c>
      <c r="F1692" s="77">
        <v>14.998422467680472</v>
      </c>
    </row>
    <row r="1693">
      <c r="A1693" s="76">
        <v>41.0</v>
      </c>
      <c r="B1693" s="74" t="s">
        <v>217</v>
      </c>
      <c r="C1693" s="74" t="s">
        <v>218</v>
      </c>
      <c r="D1693" s="74" t="s">
        <v>11</v>
      </c>
      <c r="E1693" s="74" t="s">
        <v>94</v>
      </c>
      <c r="F1693" s="80">
        <v>30.338422467680473</v>
      </c>
    </row>
    <row r="1694">
      <c r="A1694" s="76">
        <v>17.0</v>
      </c>
      <c r="B1694" s="74" t="s">
        <v>200</v>
      </c>
      <c r="C1694" s="74" t="s">
        <v>201</v>
      </c>
      <c r="D1694" s="74" t="s">
        <v>30</v>
      </c>
      <c r="E1694" s="74" t="s">
        <v>85</v>
      </c>
      <c r="F1694" s="77">
        <v>15.958422467680473</v>
      </c>
    </row>
    <row r="1695">
      <c r="A1695" s="76">
        <v>19.0</v>
      </c>
      <c r="B1695" s="74" t="s">
        <v>41</v>
      </c>
      <c r="C1695" s="74" t="s">
        <v>193</v>
      </c>
      <c r="D1695" s="74" t="s">
        <v>11</v>
      </c>
      <c r="E1695" s="74" t="s">
        <v>60</v>
      </c>
      <c r="F1695" s="80">
        <v>42.94842246768047</v>
      </c>
    </row>
    <row r="1696">
      <c r="A1696" s="76">
        <v>20.0</v>
      </c>
      <c r="B1696" s="74" t="s">
        <v>161</v>
      </c>
      <c r="C1696" s="74" t="s">
        <v>162</v>
      </c>
      <c r="D1696" s="74" t="s">
        <v>30</v>
      </c>
      <c r="E1696" s="74" t="s">
        <v>76</v>
      </c>
      <c r="F1696" s="77">
        <v>10.688422467680473</v>
      </c>
    </row>
    <row r="1697">
      <c r="A1697" s="76">
        <v>54.0</v>
      </c>
      <c r="B1697" s="74" t="s">
        <v>86</v>
      </c>
      <c r="C1697" s="74" t="s">
        <v>87</v>
      </c>
      <c r="D1697" s="74" t="s">
        <v>30</v>
      </c>
      <c r="E1697" s="74" t="s">
        <v>88</v>
      </c>
      <c r="F1697" s="80">
        <v>31.408422467680474</v>
      </c>
    </row>
    <row r="1698">
      <c r="A1698" s="76">
        <v>14.0</v>
      </c>
      <c r="B1698" s="74" t="s">
        <v>171</v>
      </c>
      <c r="C1698" s="74" t="s">
        <v>172</v>
      </c>
      <c r="D1698" s="74" t="s">
        <v>11</v>
      </c>
      <c r="E1698" s="74" t="s">
        <v>46</v>
      </c>
      <c r="F1698" s="77">
        <v>13.158422467680474</v>
      </c>
    </row>
    <row r="1699">
      <c r="A1699" s="76">
        <v>12.0</v>
      </c>
      <c r="B1699" s="74" t="s">
        <v>188</v>
      </c>
      <c r="C1699" s="74" t="s">
        <v>189</v>
      </c>
      <c r="D1699" s="74" t="s">
        <v>11</v>
      </c>
      <c r="E1699" s="74" t="s">
        <v>72</v>
      </c>
      <c r="F1699" s="80">
        <v>23.988422467680476</v>
      </c>
    </row>
    <row r="1700">
      <c r="A1700" s="76">
        <v>60.0</v>
      </c>
      <c r="B1700" s="74" t="s">
        <v>65</v>
      </c>
      <c r="C1700" s="74" t="s">
        <v>66</v>
      </c>
      <c r="D1700" s="74" t="s">
        <v>11</v>
      </c>
      <c r="E1700" s="74" t="s">
        <v>88</v>
      </c>
      <c r="F1700" s="77">
        <v>32.41842246768047</v>
      </c>
    </row>
    <row r="1701">
      <c r="A1701" s="76">
        <v>61.0</v>
      </c>
      <c r="B1701" s="74" t="s">
        <v>106</v>
      </c>
      <c r="C1701" s="74" t="s">
        <v>107</v>
      </c>
      <c r="D1701" s="74" t="s">
        <v>11</v>
      </c>
      <c r="E1701" s="74" t="s">
        <v>35</v>
      </c>
      <c r="F1701" s="80">
        <v>18.228422467680474</v>
      </c>
    </row>
    <row r="1702">
      <c r="A1702" s="76">
        <v>48.0</v>
      </c>
      <c r="B1702" s="74" t="s">
        <v>41</v>
      </c>
      <c r="C1702" s="74" t="s">
        <v>45</v>
      </c>
      <c r="D1702" s="74" t="s">
        <v>11</v>
      </c>
      <c r="E1702" s="74" t="s">
        <v>60</v>
      </c>
      <c r="F1702" s="77">
        <v>42.52842246768048</v>
      </c>
    </row>
    <row r="1703">
      <c r="A1703" s="76">
        <v>88.0</v>
      </c>
      <c r="B1703" s="74" t="s">
        <v>200</v>
      </c>
      <c r="C1703" s="74" t="s">
        <v>206</v>
      </c>
      <c r="D1703" s="74" t="s">
        <v>30</v>
      </c>
      <c r="E1703" s="74" t="s">
        <v>79</v>
      </c>
      <c r="F1703" s="80">
        <v>36.67842246768048</v>
      </c>
    </row>
    <row r="1704">
      <c r="A1704" s="76">
        <v>34.0</v>
      </c>
      <c r="B1704" s="74" t="s">
        <v>177</v>
      </c>
      <c r="C1704" s="74" t="s">
        <v>178</v>
      </c>
      <c r="D1704" s="74" t="s">
        <v>30</v>
      </c>
      <c r="E1704" s="74" t="s">
        <v>60</v>
      </c>
      <c r="F1704" s="77">
        <v>32.94842246768047</v>
      </c>
    </row>
    <row r="1705">
      <c r="A1705" s="76">
        <v>8.0</v>
      </c>
      <c r="B1705" s="74" t="s">
        <v>108</v>
      </c>
      <c r="C1705" s="74" t="s">
        <v>109</v>
      </c>
      <c r="D1705" s="74" t="s">
        <v>11</v>
      </c>
      <c r="E1705" s="74" t="s">
        <v>82</v>
      </c>
      <c r="F1705" s="80">
        <v>10.718422467680472</v>
      </c>
    </row>
    <row r="1706">
      <c r="A1706" s="76">
        <v>19.0</v>
      </c>
      <c r="B1706" s="74" t="s">
        <v>41</v>
      </c>
      <c r="C1706" s="74" t="s">
        <v>193</v>
      </c>
      <c r="D1706" s="74" t="s">
        <v>11</v>
      </c>
      <c r="E1706" s="74" t="s">
        <v>94</v>
      </c>
      <c r="F1706" s="77">
        <v>30.478422467680474</v>
      </c>
    </row>
    <row r="1707">
      <c r="A1707" s="76">
        <v>100.0</v>
      </c>
      <c r="B1707" s="74" t="s">
        <v>48</v>
      </c>
      <c r="C1707" s="74" t="s">
        <v>49</v>
      </c>
      <c r="D1707" s="74" t="s">
        <v>11</v>
      </c>
      <c r="E1707" s="74" t="s">
        <v>46</v>
      </c>
      <c r="F1707" s="80">
        <v>13.088422467680473</v>
      </c>
    </row>
    <row r="1708">
      <c r="A1708" s="76">
        <v>11.0</v>
      </c>
      <c r="B1708" s="74" t="s">
        <v>227</v>
      </c>
      <c r="C1708" s="74" t="s">
        <v>228</v>
      </c>
      <c r="D1708" s="74" t="s">
        <v>11</v>
      </c>
      <c r="E1708" s="74" t="s">
        <v>72</v>
      </c>
      <c r="F1708" s="77">
        <v>14.418422467680474</v>
      </c>
    </row>
    <row r="1709">
      <c r="A1709" s="76">
        <v>38.0</v>
      </c>
      <c r="B1709" s="74" t="s">
        <v>116</v>
      </c>
      <c r="C1709" s="74" t="s">
        <v>117</v>
      </c>
      <c r="D1709" s="74" t="s">
        <v>30</v>
      </c>
      <c r="E1709" s="74" t="s">
        <v>43</v>
      </c>
      <c r="F1709" s="80">
        <v>15.828422467680474</v>
      </c>
    </row>
    <row r="1710">
      <c r="A1710" s="76">
        <v>4.0</v>
      </c>
      <c r="B1710" s="74" t="s">
        <v>118</v>
      </c>
      <c r="C1710" s="74" t="s">
        <v>119</v>
      </c>
      <c r="D1710" s="74" t="s">
        <v>30</v>
      </c>
      <c r="E1710" s="74" t="s">
        <v>85</v>
      </c>
      <c r="F1710" s="77">
        <v>15.298422467680473</v>
      </c>
    </row>
    <row r="1711">
      <c r="A1711" s="76">
        <v>1.0</v>
      </c>
      <c r="B1711" s="74" t="s">
        <v>194</v>
      </c>
      <c r="C1711" s="74" t="s">
        <v>195</v>
      </c>
      <c r="D1711" s="74" t="s">
        <v>30</v>
      </c>
      <c r="E1711" s="74" t="s">
        <v>43</v>
      </c>
      <c r="F1711" s="80">
        <v>12.298422467680473</v>
      </c>
    </row>
    <row r="1712">
      <c r="A1712" s="76">
        <v>20.0</v>
      </c>
      <c r="B1712" s="74" t="s">
        <v>161</v>
      </c>
      <c r="C1712" s="74" t="s">
        <v>162</v>
      </c>
      <c r="D1712" s="74" t="s">
        <v>30</v>
      </c>
      <c r="E1712" s="74" t="s">
        <v>88</v>
      </c>
      <c r="F1712" s="77">
        <v>37.73842246768047</v>
      </c>
    </row>
    <row r="1713">
      <c r="A1713" s="76">
        <v>83.0</v>
      </c>
      <c r="B1713" s="74" t="s">
        <v>98</v>
      </c>
      <c r="C1713" s="74" t="s">
        <v>99</v>
      </c>
      <c r="D1713" s="74" t="s">
        <v>30</v>
      </c>
      <c r="E1713" s="74" t="s">
        <v>46</v>
      </c>
      <c r="F1713" s="80">
        <v>13.138422467680472</v>
      </c>
    </row>
    <row r="1714">
      <c r="A1714" s="76">
        <v>90.0</v>
      </c>
      <c r="B1714" s="74" t="s">
        <v>219</v>
      </c>
      <c r="C1714" s="74" t="s">
        <v>220</v>
      </c>
      <c r="D1714" s="74" t="s">
        <v>30</v>
      </c>
      <c r="E1714" s="74" t="s">
        <v>72</v>
      </c>
      <c r="F1714" s="77">
        <v>15.748422467680472</v>
      </c>
    </row>
    <row r="1715">
      <c r="A1715" s="76">
        <v>66.0</v>
      </c>
      <c r="B1715" s="74" t="s">
        <v>150</v>
      </c>
      <c r="C1715" s="74" t="s">
        <v>158</v>
      </c>
      <c r="D1715" s="74" t="s">
        <v>30</v>
      </c>
      <c r="E1715" s="74" t="s">
        <v>31</v>
      </c>
      <c r="F1715" s="80">
        <v>54.67842246768048</v>
      </c>
    </row>
    <row r="1716">
      <c r="A1716" s="76">
        <v>35.0</v>
      </c>
      <c r="B1716" s="74" t="s">
        <v>125</v>
      </c>
      <c r="C1716" s="74" t="s">
        <v>126</v>
      </c>
      <c r="D1716" s="74" t="s">
        <v>30</v>
      </c>
      <c r="E1716" s="74" t="s">
        <v>52</v>
      </c>
      <c r="F1716" s="77">
        <v>67.58842246768047</v>
      </c>
    </row>
    <row r="1717">
      <c r="A1717" s="76">
        <v>75.0</v>
      </c>
      <c r="B1717" s="74" t="s">
        <v>238</v>
      </c>
      <c r="C1717" s="74" t="s">
        <v>239</v>
      </c>
      <c r="D1717" s="74" t="s">
        <v>30</v>
      </c>
      <c r="E1717" s="74" t="s">
        <v>88</v>
      </c>
      <c r="F1717" s="80">
        <v>38.038422467680476</v>
      </c>
    </row>
    <row r="1718">
      <c r="A1718" s="76">
        <v>26.0</v>
      </c>
      <c r="B1718" s="74" t="s">
        <v>211</v>
      </c>
      <c r="C1718" s="74" t="s">
        <v>212</v>
      </c>
      <c r="D1718" s="74" t="s">
        <v>11</v>
      </c>
      <c r="E1718" s="74" t="s">
        <v>46</v>
      </c>
      <c r="F1718" s="77">
        <v>11.308422467680472</v>
      </c>
    </row>
    <row r="1719">
      <c r="A1719" s="76">
        <v>29.0</v>
      </c>
      <c r="B1719" s="74" t="s">
        <v>122</v>
      </c>
      <c r="C1719" s="74" t="s">
        <v>123</v>
      </c>
      <c r="D1719" s="74" t="s">
        <v>30</v>
      </c>
      <c r="E1719" s="74" t="s">
        <v>50</v>
      </c>
      <c r="F1719" s="80">
        <v>25.958422467680474</v>
      </c>
    </row>
    <row r="1720">
      <c r="A1720" s="76">
        <v>39.0</v>
      </c>
      <c r="B1720" s="74" t="s">
        <v>89</v>
      </c>
      <c r="C1720" s="74" t="s">
        <v>90</v>
      </c>
      <c r="D1720" s="74" t="s">
        <v>11</v>
      </c>
      <c r="E1720" s="74" t="s">
        <v>97</v>
      </c>
      <c r="F1720" s="77">
        <v>2.608422467680474</v>
      </c>
    </row>
    <row r="1721">
      <c r="A1721" s="76">
        <v>91.0</v>
      </c>
      <c r="B1721" s="74" t="s">
        <v>112</v>
      </c>
      <c r="C1721" s="74" t="s">
        <v>113</v>
      </c>
      <c r="D1721" s="74" t="s">
        <v>30</v>
      </c>
      <c r="E1721" s="74" t="s">
        <v>85</v>
      </c>
      <c r="F1721" s="80">
        <v>12.958422467680473</v>
      </c>
    </row>
    <row r="1722">
      <c r="A1722" s="76">
        <v>61.0</v>
      </c>
      <c r="B1722" s="74" t="s">
        <v>106</v>
      </c>
      <c r="C1722" s="74" t="s">
        <v>107</v>
      </c>
      <c r="D1722" s="74" t="s">
        <v>30</v>
      </c>
      <c r="E1722" s="74" t="s">
        <v>60</v>
      </c>
      <c r="F1722" s="77">
        <v>39.828422467680475</v>
      </c>
    </row>
    <row r="1723">
      <c r="A1723" s="76">
        <v>7.0</v>
      </c>
      <c r="B1723" s="74" t="s">
        <v>114</v>
      </c>
      <c r="C1723" s="74" t="s">
        <v>115</v>
      </c>
      <c r="D1723" s="74" t="s">
        <v>30</v>
      </c>
      <c r="E1723" s="74" t="s">
        <v>85</v>
      </c>
      <c r="F1723" s="80">
        <v>14.618422467680473</v>
      </c>
    </row>
    <row r="1724">
      <c r="A1724" s="76">
        <v>58.0</v>
      </c>
      <c r="B1724" s="74" t="s">
        <v>165</v>
      </c>
      <c r="C1724" s="74" t="s">
        <v>166</v>
      </c>
      <c r="D1724" s="74" t="s">
        <v>30</v>
      </c>
      <c r="E1724" s="74" t="s">
        <v>35</v>
      </c>
      <c r="F1724" s="77">
        <v>17.828422467680475</v>
      </c>
    </row>
    <row r="1725">
      <c r="A1725" s="76">
        <v>18.0</v>
      </c>
      <c r="B1725" s="74" t="s">
        <v>163</v>
      </c>
      <c r="C1725" s="74" t="s">
        <v>240</v>
      </c>
      <c r="D1725" s="74" t="s">
        <v>30</v>
      </c>
      <c r="E1725" s="74" t="s">
        <v>85</v>
      </c>
      <c r="F1725" s="80">
        <v>15.028422467680473</v>
      </c>
    </row>
    <row r="1726">
      <c r="A1726" s="76">
        <v>2.0</v>
      </c>
      <c r="B1726" s="74" t="s">
        <v>83</v>
      </c>
      <c r="C1726" s="74" t="s">
        <v>84</v>
      </c>
      <c r="D1726" s="74" t="s">
        <v>11</v>
      </c>
      <c r="E1726" s="74" t="s">
        <v>79</v>
      </c>
      <c r="F1726" s="77">
        <v>37.85842246768048</v>
      </c>
    </row>
    <row r="1727">
      <c r="A1727" s="76">
        <v>26.0</v>
      </c>
      <c r="B1727" s="74" t="s">
        <v>211</v>
      </c>
      <c r="C1727" s="74" t="s">
        <v>212</v>
      </c>
      <c r="D1727" s="74" t="s">
        <v>11</v>
      </c>
      <c r="E1727" s="74" t="s">
        <v>46</v>
      </c>
      <c r="F1727" s="80">
        <v>10.728422467680472</v>
      </c>
    </row>
    <row r="1728">
      <c r="A1728" s="76">
        <v>15.0</v>
      </c>
      <c r="B1728" s="74" t="s">
        <v>58</v>
      </c>
      <c r="C1728" s="74" t="s">
        <v>59</v>
      </c>
      <c r="D1728" s="74" t="s">
        <v>11</v>
      </c>
      <c r="E1728" s="74" t="s">
        <v>76</v>
      </c>
      <c r="F1728" s="77">
        <v>10.898422467680474</v>
      </c>
    </row>
    <row r="1729">
      <c r="A1729" s="76">
        <v>74.0</v>
      </c>
      <c r="B1729" s="74" t="s">
        <v>9</v>
      </c>
      <c r="C1729" s="74" t="s">
        <v>124</v>
      </c>
      <c r="D1729" s="74" t="s">
        <v>11</v>
      </c>
      <c r="E1729" s="74" t="s">
        <v>60</v>
      </c>
      <c r="F1729" s="80">
        <v>35.44842246768047</v>
      </c>
    </row>
    <row r="1730">
      <c r="A1730" s="76">
        <v>51.0</v>
      </c>
      <c r="B1730" s="74" t="s">
        <v>233</v>
      </c>
      <c r="C1730" s="74" t="s">
        <v>234</v>
      </c>
      <c r="D1730" s="74" t="s">
        <v>11</v>
      </c>
      <c r="E1730" s="74" t="s">
        <v>31</v>
      </c>
      <c r="F1730" s="77">
        <v>52.728422467680474</v>
      </c>
    </row>
    <row r="1731">
      <c r="A1731" s="76">
        <v>52.0</v>
      </c>
      <c r="B1731" s="74" t="s">
        <v>181</v>
      </c>
      <c r="C1731" s="74" t="s">
        <v>182</v>
      </c>
      <c r="D1731" s="74" t="s">
        <v>30</v>
      </c>
      <c r="E1731" s="74" t="s">
        <v>91</v>
      </c>
      <c r="F1731" s="80">
        <v>2.988422467680474</v>
      </c>
    </row>
    <row r="1732">
      <c r="A1732" s="76">
        <v>9.0</v>
      </c>
      <c r="B1732" s="74" t="s">
        <v>207</v>
      </c>
      <c r="C1732" s="74" t="s">
        <v>208</v>
      </c>
      <c r="D1732" s="74" t="s">
        <v>11</v>
      </c>
      <c r="E1732" s="74" t="s">
        <v>52</v>
      </c>
      <c r="F1732" s="77">
        <v>51.51842246768047</v>
      </c>
    </row>
    <row r="1733">
      <c r="A1733" s="76">
        <v>95.0</v>
      </c>
      <c r="B1733" s="74" t="s">
        <v>110</v>
      </c>
      <c r="C1733" s="74" t="s">
        <v>111</v>
      </c>
      <c r="D1733" s="74" t="s">
        <v>11</v>
      </c>
      <c r="E1733" s="74" t="s">
        <v>88</v>
      </c>
      <c r="F1733" s="80">
        <v>32.218422467680476</v>
      </c>
    </row>
    <row r="1734">
      <c r="A1734" s="76">
        <v>25.0</v>
      </c>
      <c r="B1734" s="74" t="s">
        <v>154</v>
      </c>
      <c r="C1734" s="74" t="s">
        <v>155</v>
      </c>
      <c r="D1734" s="74" t="s">
        <v>11</v>
      </c>
      <c r="E1734" s="74" t="s">
        <v>79</v>
      </c>
      <c r="F1734" s="77">
        <v>30.988422467680472</v>
      </c>
    </row>
    <row r="1735">
      <c r="A1735" s="76">
        <v>46.0</v>
      </c>
      <c r="B1735" s="74" t="s">
        <v>143</v>
      </c>
      <c r="C1735" s="74" t="s">
        <v>144</v>
      </c>
      <c r="D1735" s="74" t="s">
        <v>11</v>
      </c>
      <c r="E1735" s="74" t="s">
        <v>12</v>
      </c>
      <c r="F1735" s="80">
        <v>9.548422467680473</v>
      </c>
    </row>
    <row r="1736">
      <c r="A1736" s="76">
        <v>80.0</v>
      </c>
      <c r="B1736" s="74" t="s">
        <v>37</v>
      </c>
      <c r="C1736" s="74" t="s">
        <v>38</v>
      </c>
      <c r="D1736" s="74" t="s">
        <v>30</v>
      </c>
      <c r="E1736" s="74" t="s">
        <v>60</v>
      </c>
      <c r="F1736" s="77">
        <v>37.478422467680474</v>
      </c>
    </row>
    <row r="1737">
      <c r="A1737" s="76">
        <v>30.0</v>
      </c>
      <c r="B1737" s="74" t="s">
        <v>9</v>
      </c>
      <c r="C1737" s="74" t="s">
        <v>10</v>
      </c>
      <c r="D1737" s="74" t="s">
        <v>11</v>
      </c>
      <c r="E1737" s="74" t="s">
        <v>56</v>
      </c>
      <c r="F1737" s="80">
        <v>66.80842246768047</v>
      </c>
    </row>
    <row r="1738">
      <c r="A1738" s="76">
        <v>47.0</v>
      </c>
      <c r="B1738" s="74" t="s">
        <v>120</v>
      </c>
      <c r="C1738" s="74" t="s">
        <v>121</v>
      </c>
      <c r="D1738" s="74" t="s">
        <v>30</v>
      </c>
      <c r="E1738" s="74" t="s">
        <v>76</v>
      </c>
      <c r="F1738" s="77">
        <v>10.358422467680473</v>
      </c>
    </row>
    <row r="1739">
      <c r="A1739" s="76">
        <v>42.0</v>
      </c>
      <c r="B1739" s="74" t="s">
        <v>92</v>
      </c>
      <c r="C1739" s="74" t="s">
        <v>170</v>
      </c>
      <c r="D1739" s="74" t="s">
        <v>11</v>
      </c>
      <c r="E1739" s="74" t="s">
        <v>60</v>
      </c>
      <c r="F1739" s="80">
        <v>50.58842246768047</v>
      </c>
    </row>
    <row r="1740">
      <c r="A1740" s="76">
        <v>62.0</v>
      </c>
      <c r="B1740" s="74" t="s">
        <v>156</v>
      </c>
      <c r="C1740" s="74" t="s">
        <v>157</v>
      </c>
      <c r="D1740" s="74" t="s">
        <v>11</v>
      </c>
      <c r="E1740" s="74" t="s">
        <v>12</v>
      </c>
      <c r="F1740" s="77">
        <v>9.688422467680473</v>
      </c>
    </row>
    <row r="1741">
      <c r="A1741" s="76">
        <v>31.0</v>
      </c>
      <c r="B1741" s="74" t="s">
        <v>229</v>
      </c>
      <c r="C1741" s="74" t="s">
        <v>230</v>
      </c>
      <c r="D1741" s="74" t="s">
        <v>11</v>
      </c>
      <c r="E1741" s="74" t="s">
        <v>76</v>
      </c>
      <c r="F1741" s="80">
        <v>10.908422467680474</v>
      </c>
    </row>
    <row r="1742">
      <c r="A1742" s="76">
        <v>8.0</v>
      </c>
      <c r="B1742" s="74" t="s">
        <v>108</v>
      </c>
      <c r="C1742" s="74" t="s">
        <v>109</v>
      </c>
      <c r="D1742" s="74" t="s">
        <v>11</v>
      </c>
      <c r="E1742" s="74" t="s">
        <v>76</v>
      </c>
      <c r="F1742" s="77">
        <v>9.828422467680474</v>
      </c>
    </row>
    <row r="1743">
      <c r="A1743" s="76">
        <v>69.0</v>
      </c>
      <c r="B1743" s="74" t="s">
        <v>108</v>
      </c>
      <c r="C1743" s="74" t="s">
        <v>145</v>
      </c>
      <c r="D1743" s="74" t="s">
        <v>11</v>
      </c>
      <c r="E1743" s="74" t="s">
        <v>94</v>
      </c>
      <c r="F1743" s="80">
        <v>29.828422467680475</v>
      </c>
    </row>
    <row r="1744">
      <c r="A1744" s="76">
        <v>81.0</v>
      </c>
      <c r="B1744" s="74" t="s">
        <v>54</v>
      </c>
      <c r="C1744" s="74" t="s">
        <v>55</v>
      </c>
      <c r="D1744" s="74" t="s">
        <v>30</v>
      </c>
      <c r="E1744" s="74" t="s">
        <v>50</v>
      </c>
      <c r="F1744" s="77">
        <v>27.688422467680475</v>
      </c>
    </row>
    <row r="1745">
      <c r="A1745" s="76">
        <v>79.0</v>
      </c>
      <c r="B1745" s="74" t="s">
        <v>101</v>
      </c>
      <c r="C1745" s="74" t="s">
        <v>102</v>
      </c>
      <c r="D1745" s="74" t="s">
        <v>30</v>
      </c>
      <c r="E1745" s="74" t="s">
        <v>12</v>
      </c>
      <c r="F1745" s="80">
        <v>9.408422467680474</v>
      </c>
    </row>
    <row r="1746">
      <c r="A1746" s="76">
        <v>65.0</v>
      </c>
      <c r="B1746" s="74" t="s">
        <v>209</v>
      </c>
      <c r="C1746" s="74" t="s">
        <v>210</v>
      </c>
      <c r="D1746" s="74" t="s">
        <v>30</v>
      </c>
      <c r="E1746" s="74" t="s">
        <v>85</v>
      </c>
      <c r="F1746" s="77">
        <v>12.408422467680474</v>
      </c>
    </row>
    <row r="1747">
      <c r="A1747" s="76">
        <v>99.0</v>
      </c>
      <c r="B1747" s="74" t="s">
        <v>73</v>
      </c>
      <c r="C1747" s="74" t="s">
        <v>74</v>
      </c>
      <c r="D1747" s="74" t="s">
        <v>11</v>
      </c>
      <c r="E1747" s="74" t="s">
        <v>35</v>
      </c>
      <c r="F1747" s="80">
        <v>13.348422467680473</v>
      </c>
    </row>
    <row r="1748">
      <c r="A1748" s="76">
        <v>61.0</v>
      </c>
      <c r="B1748" s="74" t="s">
        <v>106</v>
      </c>
      <c r="C1748" s="74" t="s">
        <v>107</v>
      </c>
      <c r="D1748" s="74" t="s">
        <v>30</v>
      </c>
      <c r="E1748" s="74" t="s">
        <v>12</v>
      </c>
      <c r="F1748" s="77">
        <v>9.748422467680474</v>
      </c>
    </row>
    <row r="1749">
      <c r="A1749" s="76">
        <v>85.0</v>
      </c>
      <c r="B1749" s="74" t="s">
        <v>198</v>
      </c>
      <c r="C1749" s="74" t="s">
        <v>199</v>
      </c>
      <c r="D1749" s="74" t="s">
        <v>30</v>
      </c>
      <c r="E1749" s="74" t="s">
        <v>91</v>
      </c>
      <c r="F1749" s="80">
        <v>1.138422467680474</v>
      </c>
    </row>
    <row r="1750">
      <c r="A1750" s="76">
        <v>18.0</v>
      </c>
      <c r="B1750" s="74" t="s">
        <v>163</v>
      </c>
      <c r="C1750" s="74" t="s">
        <v>240</v>
      </c>
      <c r="D1750" s="74" t="s">
        <v>11</v>
      </c>
      <c r="E1750" s="74" t="s">
        <v>88</v>
      </c>
      <c r="F1750" s="77">
        <v>38.218422467680476</v>
      </c>
    </row>
    <row r="1751">
      <c r="A1751" s="76">
        <v>49.0</v>
      </c>
      <c r="B1751" s="74" t="s">
        <v>179</v>
      </c>
      <c r="C1751" s="74" t="s">
        <v>180</v>
      </c>
      <c r="D1751" s="74" t="s">
        <v>11</v>
      </c>
      <c r="E1751" s="74" t="s">
        <v>35</v>
      </c>
      <c r="F1751" s="80">
        <v>20.288422467680476</v>
      </c>
    </row>
    <row r="1752">
      <c r="A1752" s="76">
        <v>53.0</v>
      </c>
      <c r="B1752" s="74" t="s">
        <v>241</v>
      </c>
      <c r="C1752" s="74" t="s">
        <v>242</v>
      </c>
      <c r="D1752" s="74" t="s">
        <v>30</v>
      </c>
      <c r="E1752" s="74" t="s">
        <v>52</v>
      </c>
      <c r="F1752" s="77">
        <v>48.258422467680475</v>
      </c>
    </row>
    <row r="1753">
      <c r="A1753" s="76">
        <v>82.0</v>
      </c>
      <c r="B1753" s="74" t="s">
        <v>231</v>
      </c>
      <c r="C1753" s="74" t="s">
        <v>232</v>
      </c>
      <c r="D1753" s="74" t="s">
        <v>11</v>
      </c>
      <c r="E1753" s="74" t="s">
        <v>68</v>
      </c>
      <c r="F1753" s="80">
        <v>13.858422467680473</v>
      </c>
    </row>
    <row r="1754">
      <c r="A1754" s="76">
        <v>47.0</v>
      </c>
      <c r="B1754" s="74" t="s">
        <v>120</v>
      </c>
      <c r="C1754" s="74" t="s">
        <v>121</v>
      </c>
      <c r="D1754" s="74" t="s">
        <v>11</v>
      </c>
      <c r="E1754" s="74" t="s">
        <v>68</v>
      </c>
      <c r="F1754" s="77">
        <v>6.098422467680474</v>
      </c>
    </row>
    <row r="1755">
      <c r="A1755" s="76">
        <v>73.0</v>
      </c>
      <c r="B1755" s="74" t="s">
        <v>223</v>
      </c>
      <c r="C1755" s="74" t="s">
        <v>224</v>
      </c>
      <c r="D1755" s="74" t="s">
        <v>30</v>
      </c>
      <c r="E1755" s="74" t="s">
        <v>68</v>
      </c>
      <c r="F1755" s="80">
        <v>13.348422467680473</v>
      </c>
    </row>
    <row r="1756">
      <c r="A1756" s="76">
        <v>66.0</v>
      </c>
      <c r="B1756" s="74" t="s">
        <v>150</v>
      </c>
      <c r="C1756" s="74" t="s">
        <v>158</v>
      </c>
      <c r="D1756" s="74" t="s">
        <v>30</v>
      </c>
      <c r="E1756" s="74" t="s">
        <v>79</v>
      </c>
      <c r="F1756" s="77">
        <v>31.318422467680477</v>
      </c>
    </row>
    <row r="1757">
      <c r="A1757" s="76">
        <v>81.0</v>
      </c>
      <c r="B1757" s="74" t="s">
        <v>54</v>
      </c>
      <c r="C1757" s="74" t="s">
        <v>55</v>
      </c>
      <c r="D1757" s="74" t="s">
        <v>11</v>
      </c>
      <c r="E1757" s="74" t="s">
        <v>82</v>
      </c>
      <c r="F1757" s="80">
        <v>11.868422467680473</v>
      </c>
    </row>
    <row r="1758">
      <c r="A1758" s="76">
        <v>44.0</v>
      </c>
      <c r="B1758" s="74" t="s">
        <v>215</v>
      </c>
      <c r="C1758" s="74" t="s">
        <v>216</v>
      </c>
      <c r="D1758" s="74" t="s">
        <v>30</v>
      </c>
      <c r="E1758" s="74" t="s">
        <v>68</v>
      </c>
      <c r="F1758" s="77">
        <v>9.428422467680473</v>
      </c>
    </row>
    <row r="1759">
      <c r="A1759" s="76">
        <v>29.0</v>
      </c>
      <c r="B1759" s="74" t="s">
        <v>122</v>
      </c>
      <c r="C1759" s="74" t="s">
        <v>123</v>
      </c>
      <c r="D1759" s="74" t="s">
        <v>11</v>
      </c>
      <c r="E1759" s="74" t="s">
        <v>85</v>
      </c>
      <c r="F1759" s="80">
        <v>14.478422467680472</v>
      </c>
    </row>
    <row r="1760">
      <c r="A1760" s="76">
        <v>41.0</v>
      </c>
      <c r="B1760" s="74" t="s">
        <v>217</v>
      </c>
      <c r="C1760" s="74" t="s">
        <v>218</v>
      </c>
      <c r="D1760" s="74" t="s">
        <v>30</v>
      </c>
      <c r="E1760" s="74" t="s">
        <v>52</v>
      </c>
      <c r="F1760" s="77">
        <v>68.76842246768047</v>
      </c>
    </row>
    <row r="1761">
      <c r="A1761" s="76">
        <v>34.0</v>
      </c>
      <c r="B1761" s="74" t="s">
        <v>177</v>
      </c>
      <c r="C1761" s="74" t="s">
        <v>178</v>
      </c>
      <c r="D1761" s="74" t="s">
        <v>11</v>
      </c>
      <c r="E1761" s="74" t="s">
        <v>43</v>
      </c>
      <c r="F1761" s="80">
        <v>13.378422467680473</v>
      </c>
    </row>
    <row r="1762">
      <c r="A1762" s="76">
        <v>77.0</v>
      </c>
      <c r="B1762" s="74" t="s">
        <v>9</v>
      </c>
      <c r="C1762" s="74" t="s">
        <v>169</v>
      </c>
      <c r="D1762" s="74" t="s">
        <v>11</v>
      </c>
      <c r="E1762" s="74" t="s">
        <v>82</v>
      </c>
      <c r="F1762" s="77">
        <v>13.618422467680473</v>
      </c>
    </row>
    <row r="1763">
      <c r="A1763" s="76">
        <v>49.0</v>
      </c>
      <c r="B1763" s="74" t="s">
        <v>179</v>
      </c>
      <c r="C1763" s="74" t="s">
        <v>180</v>
      </c>
      <c r="D1763" s="74" t="s">
        <v>30</v>
      </c>
      <c r="E1763" s="74" t="s">
        <v>94</v>
      </c>
      <c r="F1763" s="80">
        <v>24.508422467680475</v>
      </c>
    </row>
    <row r="1764">
      <c r="A1764" s="76">
        <v>99.0</v>
      </c>
      <c r="B1764" s="74" t="s">
        <v>73</v>
      </c>
      <c r="C1764" s="74" t="s">
        <v>74</v>
      </c>
      <c r="D1764" s="74" t="s">
        <v>11</v>
      </c>
      <c r="E1764" s="74" t="s">
        <v>79</v>
      </c>
      <c r="F1764" s="77">
        <v>33.91842246768047</v>
      </c>
    </row>
    <row r="1765">
      <c r="A1765" s="76">
        <v>41.0</v>
      </c>
      <c r="B1765" s="74" t="s">
        <v>217</v>
      </c>
      <c r="C1765" s="74" t="s">
        <v>218</v>
      </c>
      <c r="D1765" s="74" t="s">
        <v>11</v>
      </c>
      <c r="E1765" s="74" t="s">
        <v>85</v>
      </c>
      <c r="F1765" s="80">
        <v>13.188422467680473</v>
      </c>
    </row>
    <row r="1766">
      <c r="A1766" s="76">
        <v>94.0</v>
      </c>
      <c r="B1766" s="74" t="s">
        <v>207</v>
      </c>
      <c r="C1766" s="74" t="s">
        <v>237</v>
      </c>
      <c r="D1766" s="74" t="s">
        <v>30</v>
      </c>
      <c r="E1766" s="74" t="s">
        <v>12</v>
      </c>
      <c r="F1766" s="77">
        <v>9.668422467680474</v>
      </c>
    </row>
    <row r="1767">
      <c r="A1767" s="76">
        <v>25.0</v>
      </c>
      <c r="B1767" s="74" t="s">
        <v>154</v>
      </c>
      <c r="C1767" s="74" t="s">
        <v>155</v>
      </c>
      <c r="D1767" s="74" t="s">
        <v>11</v>
      </c>
      <c r="E1767" s="74" t="s">
        <v>60</v>
      </c>
      <c r="F1767" s="80">
        <v>46.05842246768047</v>
      </c>
    </row>
    <row r="1768">
      <c r="A1768" s="76">
        <v>98.0</v>
      </c>
      <c r="B1768" s="74" t="s">
        <v>159</v>
      </c>
      <c r="C1768" s="74" t="s">
        <v>196</v>
      </c>
      <c r="D1768" s="74" t="s">
        <v>30</v>
      </c>
      <c r="E1768" s="74" t="s">
        <v>56</v>
      </c>
      <c r="F1768" s="77">
        <v>72.89842246768046</v>
      </c>
    </row>
    <row r="1769">
      <c r="A1769" s="76">
        <v>16.0</v>
      </c>
      <c r="B1769" s="74" t="s">
        <v>175</v>
      </c>
      <c r="C1769" s="74" t="s">
        <v>176</v>
      </c>
      <c r="D1769" s="74" t="s">
        <v>11</v>
      </c>
      <c r="E1769" s="74" t="s">
        <v>56</v>
      </c>
      <c r="F1769" s="80">
        <v>71.85842246768047</v>
      </c>
    </row>
    <row r="1770">
      <c r="A1770" s="76">
        <v>49.0</v>
      </c>
      <c r="B1770" s="74" t="s">
        <v>179</v>
      </c>
      <c r="C1770" s="74" t="s">
        <v>180</v>
      </c>
      <c r="D1770" s="74" t="s">
        <v>30</v>
      </c>
      <c r="E1770" s="74" t="s">
        <v>85</v>
      </c>
      <c r="F1770" s="77">
        <v>14.798422467680473</v>
      </c>
    </row>
    <row r="1771">
      <c r="A1771" s="76">
        <v>98.0</v>
      </c>
      <c r="B1771" s="74" t="s">
        <v>159</v>
      </c>
      <c r="C1771" s="74" t="s">
        <v>196</v>
      </c>
      <c r="D1771" s="74" t="s">
        <v>11</v>
      </c>
      <c r="E1771" s="74" t="s">
        <v>46</v>
      </c>
      <c r="F1771" s="80">
        <v>13.858422467680473</v>
      </c>
    </row>
    <row r="1772">
      <c r="A1772" s="76">
        <v>34.0</v>
      </c>
      <c r="B1772" s="74" t="s">
        <v>177</v>
      </c>
      <c r="C1772" s="74" t="s">
        <v>178</v>
      </c>
      <c r="D1772" s="74" t="s">
        <v>11</v>
      </c>
      <c r="E1772" s="74" t="s">
        <v>56</v>
      </c>
      <c r="F1772" s="77">
        <v>75.14842246768046</v>
      </c>
    </row>
    <row r="1773">
      <c r="A1773" s="76">
        <v>60.0</v>
      </c>
      <c r="B1773" s="74" t="s">
        <v>65</v>
      </c>
      <c r="C1773" s="74" t="s">
        <v>66</v>
      </c>
      <c r="D1773" s="74" t="s">
        <v>11</v>
      </c>
      <c r="E1773" s="74" t="s">
        <v>60</v>
      </c>
      <c r="F1773" s="80">
        <v>51.87842246768047</v>
      </c>
    </row>
    <row r="1774">
      <c r="A1774" s="76">
        <v>14.0</v>
      </c>
      <c r="B1774" s="74" t="s">
        <v>171</v>
      </c>
      <c r="C1774" s="74" t="s">
        <v>172</v>
      </c>
      <c r="D1774" s="74" t="s">
        <v>30</v>
      </c>
      <c r="E1774" s="74" t="s">
        <v>79</v>
      </c>
      <c r="F1774" s="77">
        <v>28.088422467680473</v>
      </c>
    </row>
    <row r="1775">
      <c r="A1775" s="76">
        <v>36.0</v>
      </c>
      <c r="B1775" s="74" t="s">
        <v>92</v>
      </c>
      <c r="C1775" s="74" t="s">
        <v>93</v>
      </c>
      <c r="D1775" s="74" t="s">
        <v>30</v>
      </c>
      <c r="E1775" s="74" t="s">
        <v>91</v>
      </c>
      <c r="F1775" s="80">
        <v>2.6184224676804737</v>
      </c>
    </row>
    <row r="1776">
      <c r="A1776" s="76">
        <v>40.0</v>
      </c>
      <c r="B1776" s="74" t="s">
        <v>122</v>
      </c>
      <c r="C1776" s="74" t="s">
        <v>185</v>
      </c>
      <c r="D1776" s="74" t="s">
        <v>11</v>
      </c>
      <c r="E1776" s="74" t="s">
        <v>46</v>
      </c>
      <c r="F1776" s="77">
        <v>11.458422467680473</v>
      </c>
    </row>
    <row r="1777">
      <c r="A1777" s="76">
        <v>22.0</v>
      </c>
      <c r="B1777" s="74" t="s">
        <v>131</v>
      </c>
      <c r="C1777" s="74" t="s">
        <v>132</v>
      </c>
      <c r="D1777" s="74" t="s">
        <v>30</v>
      </c>
      <c r="E1777" s="74" t="s">
        <v>97</v>
      </c>
      <c r="F1777" s="80">
        <v>3.848422467680474</v>
      </c>
    </row>
    <row r="1778">
      <c r="A1778" s="76">
        <v>85.0</v>
      </c>
      <c r="B1778" s="74" t="s">
        <v>198</v>
      </c>
      <c r="C1778" s="74" t="s">
        <v>199</v>
      </c>
      <c r="D1778" s="74" t="s">
        <v>30</v>
      </c>
      <c r="E1778" s="74" t="s">
        <v>68</v>
      </c>
      <c r="F1778" s="77">
        <v>9.428422467680473</v>
      </c>
    </row>
    <row r="1779">
      <c r="A1779" s="76">
        <v>38.0</v>
      </c>
      <c r="B1779" s="74" t="s">
        <v>116</v>
      </c>
      <c r="C1779" s="74" t="s">
        <v>117</v>
      </c>
      <c r="D1779" s="74" t="s">
        <v>30</v>
      </c>
      <c r="E1779" s="74" t="s">
        <v>39</v>
      </c>
      <c r="F1779" s="80">
        <v>30.808422467680476</v>
      </c>
    </row>
    <row r="1780">
      <c r="A1780" s="76">
        <v>44.0</v>
      </c>
      <c r="B1780" s="74" t="s">
        <v>215</v>
      </c>
      <c r="C1780" s="74" t="s">
        <v>216</v>
      </c>
      <c r="D1780" s="74" t="s">
        <v>11</v>
      </c>
      <c r="E1780" s="74" t="s">
        <v>35</v>
      </c>
      <c r="F1780" s="77">
        <v>18.418422467680475</v>
      </c>
    </row>
    <row r="1781">
      <c r="A1781" s="76">
        <v>85.0</v>
      </c>
      <c r="B1781" s="74" t="s">
        <v>198</v>
      </c>
      <c r="C1781" s="74" t="s">
        <v>199</v>
      </c>
      <c r="D1781" s="74" t="s">
        <v>11</v>
      </c>
      <c r="E1781" s="74" t="s">
        <v>88</v>
      </c>
      <c r="F1781" s="80">
        <v>31.378422467680473</v>
      </c>
    </row>
    <row r="1782">
      <c r="A1782" s="76">
        <v>52.0</v>
      </c>
      <c r="B1782" s="74" t="s">
        <v>181</v>
      </c>
      <c r="C1782" s="74" t="s">
        <v>182</v>
      </c>
      <c r="D1782" s="74" t="s">
        <v>30</v>
      </c>
      <c r="E1782" s="74" t="s">
        <v>76</v>
      </c>
      <c r="F1782" s="77">
        <v>10.258422467680473</v>
      </c>
    </row>
    <row r="1783">
      <c r="A1783" s="76">
        <v>75.0</v>
      </c>
      <c r="B1783" s="74" t="s">
        <v>238</v>
      </c>
      <c r="C1783" s="74" t="s">
        <v>239</v>
      </c>
      <c r="D1783" s="74" t="s">
        <v>30</v>
      </c>
      <c r="E1783" s="74" t="s">
        <v>85</v>
      </c>
      <c r="F1783" s="80">
        <v>12.488422467680474</v>
      </c>
    </row>
    <row r="1784">
      <c r="A1784" s="76">
        <v>4.0</v>
      </c>
      <c r="B1784" s="74" t="s">
        <v>118</v>
      </c>
      <c r="C1784" s="74" t="s">
        <v>119</v>
      </c>
      <c r="D1784" s="74" t="s">
        <v>30</v>
      </c>
      <c r="E1784" s="74" t="s">
        <v>94</v>
      </c>
      <c r="F1784" s="77">
        <v>29.678422467680473</v>
      </c>
    </row>
    <row r="1785">
      <c r="A1785" s="76">
        <v>90.0</v>
      </c>
      <c r="B1785" s="74" t="s">
        <v>219</v>
      </c>
      <c r="C1785" s="74" t="s">
        <v>220</v>
      </c>
      <c r="D1785" s="74" t="s">
        <v>11</v>
      </c>
      <c r="E1785" s="74" t="s">
        <v>43</v>
      </c>
      <c r="F1785" s="80">
        <v>17.588422467680473</v>
      </c>
    </row>
    <row r="1786">
      <c r="A1786" s="76">
        <v>19.0</v>
      </c>
      <c r="B1786" s="74" t="s">
        <v>41</v>
      </c>
      <c r="C1786" s="74" t="s">
        <v>193</v>
      </c>
      <c r="D1786" s="74" t="s">
        <v>11</v>
      </c>
      <c r="E1786" s="74" t="s">
        <v>85</v>
      </c>
      <c r="F1786" s="77">
        <v>10.848422467680473</v>
      </c>
    </row>
    <row r="1787">
      <c r="A1787" s="76">
        <v>93.0</v>
      </c>
      <c r="B1787" s="74" t="s">
        <v>129</v>
      </c>
      <c r="C1787" s="74" t="s">
        <v>130</v>
      </c>
      <c r="D1787" s="74" t="s">
        <v>30</v>
      </c>
      <c r="E1787" s="74" t="s">
        <v>68</v>
      </c>
      <c r="F1787" s="80">
        <v>18.458422467680474</v>
      </c>
    </row>
    <row r="1788">
      <c r="A1788" s="76">
        <v>21.0</v>
      </c>
      <c r="B1788" s="74" t="s">
        <v>186</v>
      </c>
      <c r="C1788" s="74" t="s">
        <v>187</v>
      </c>
      <c r="D1788" s="74" t="s">
        <v>11</v>
      </c>
      <c r="E1788" s="74" t="s">
        <v>43</v>
      </c>
      <c r="F1788" s="77">
        <v>19.268422467680473</v>
      </c>
    </row>
    <row r="1789">
      <c r="A1789" s="76">
        <v>97.0</v>
      </c>
      <c r="B1789" s="74" t="s">
        <v>69</v>
      </c>
      <c r="C1789" s="74" t="s">
        <v>70</v>
      </c>
      <c r="D1789" s="74" t="s">
        <v>30</v>
      </c>
      <c r="E1789" s="74" t="s">
        <v>39</v>
      </c>
      <c r="F1789" s="80">
        <v>27.108422467680477</v>
      </c>
    </row>
    <row r="1790">
      <c r="A1790" s="76">
        <v>48.0</v>
      </c>
      <c r="B1790" s="74" t="s">
        <v>41</v>
      </c>
      <c r="C1790" s="74" t="s">
        <v>45</v>
      </c>
      <c r="D1790" s="74" t="s">
        <v>11</v>
      </c>
      <c r="E1790" s="74" t="s">
        <v>46</v>
      </c>
      <c r="F1790" s="77">
        <v>13.518422467680473</v>
      </c>
    </row>
    <row r="1791">
      <c r="A1791" s="76">
        <v>66.0</v>
      </c>
      <c r="B1791" s="74" t="s">
        <v>150</v>
      </c>
      <c r="C1791" s="74" t="s">
        <v>158</v>
      </c>
      <c r="D1791" s="74" t="s">
        <v>30</v>
      </c>
      <c r="E1791" s="74" t="s">
        <v>72</v>
      </c>
      <c r="F1791" s="80">
        <v>23.928422467680473</v>
      </c>
    </row>
    <row r="1792">
      <c r="A1792" s="76">
        <v>67.0</v>
      </c>
      <c r="B1792" s="74" t="s">
        <v>204</v>
      </c>
      <c r="C1792" s="74" t="s">
        <v>205</v>
      </c>
      <c r="D1792" s="74" t="s">
        <v>30</v>
      </c>
      <c r="E1792" s="74" t="s">
        <v>85</v>
      </c>
      <c r="F1792" s="77">
        <v>11.118422467680473</v>
      </c>
    </row>
    <row r="1793">
      <c r="A1793" s="76">
        <v>96.0</v>
      </c>
      <c r="B1793" s="74" t="s">
        <v>163</v>
      </c>
      <c r="C1793" s="74" t="s">
        <v>164</v>
      </c>
      <c r="D1793" s="74" t="s">
        <v>30</v>
      </c>
      <c r="E1793" s="74" t="s">
        <v>60</v>
      </c>
      <c r="F1793" s="80">
        <v>38.478422467680474</v>
      </c>
    </row>
    <row r="1794">
      <c r="A1794" s="76">
        <v>71.0</v>
      </c>
      <c r="B1794" s="74" t="s">
        <v>150</v>
      </c>
      <c r="C1794" s="74" t="s">
        <v>151</v>
      </c>
      <c r="D1794" s="74" t="s">
        <v>30</v>
      </c>
      <c r="E1794" s="74" t="s">
        <v>85</v>
      </c>
      <c r="F1794" s="77">
        <v>15.988422467680474</v>
      </c>
    </row>
    <row r="1795">
      <c r="A1795" s="76">
        <v>87.0</v>
      </c>
      <c r="B1795" s="74" t="s">
        <v>243</v>
      </c>
      <c r="C1795" s="74" t="s">
        <v>244</v>
      </c>
      <c r="D1795" s="74" t="s">
        <v>11</v>
      </c>
      <c r="E1795" s="74" t="s">
        <v>46</v>
      </c>
      <c r="F1795" s="80">
        <v>13.198422467680473</v>
      </c>
    </row>
    <row r="1796">
      <c r="A1796" s="76">
        <v>37.0</v>
      </c>
      <c r="B1796" s="74" t="s">
        <v>245</v>
      </c>
      <c r="C1796" s="74" t="s">
        <v>246</v>
      </c>
      <c r="D1796" s="74" t="s">
        <v>11</v>
      </c>
      <c r="E1796" s="74" t="s">
        <v>82</v>
      </c>
      <c r="F1796" s="77">
        <v>9.478422467680472</v>
      </c>
    </row>
    <row r="1797">
      <c r="A1797" s="76">
        <v>22.0</v>
      </c>
      <c r="B1797" s="74" t="s">
        <v>131</v>
      </c>
      <c r="C1797" s="74" t="s">
        <v>132</v>
      </c>
      <c r="D1797" s="74" t="s">
        <v>30</v>
      </c>
      <c r="E1797" s="74" t="s">
        <v>39</v>
      </c>
      <c r="F1797" s="80">
        <v>17.968422467680476</v>
      </c>
    </row>
    <row r="1798">
      <c r="A1798" s="76">
        <v>28.0</v>
      </c>
      <c r="B1798" s="74" t="s">
        <v>77</v>
      </c>
      <c r="C1798" s="74" t="s">
        <v>78</v>
      </c>
      <c r="D1798" s="74" t="s">
        <v>11</v>
      </c>
      <c r="E1798" s="74" t="s">
        <v>85</v>
      </c>
      <c r="F1798" s="77">
        <v>13.088422467680473</v>
      </c>
    </row>
    <row r="1799">
      <c r="A1799" s="76">
        <v>62.0</v>
      </c>
      <c r="B1799" s="74" t="s">
        <v>156</v>
      </c>
      <c r="C1799" s="74" t="s">
        <v>157</v>
      </c>
      <c r="D1799" s="74" t="s">
        <v>11</v>
      </c>
      <c r="E1799" s="74" t="s">
        <v>43</v>
      </c>
      <c r="F1799" s="80">
        <v>13.128422467680473</v>
      </c>
    </row>
    <row r="1800">
      <c r="A1800" s="76">
        <v>51.0</v>
      </c>
      <c r="B1800" s="74" t="s">
        <v>233</v>
      </c>
      <c r="C1800" s="74" t="s">
        <v>234</v>
      </c>
      <c r="D1800" s="74" t="s">
        <v>30</v>
      </c>
      <c r="E1800" s="74" t="s">
        <v>43</v>
      </c>
      <c r="F1800" s="77">
        <v>15.978422467680472</v>
      </c>
    </row>
    <row r="1801">
      <c r="A1801" s="76">
        <v>31.0</v>
      </c>
      <c r="B1801" s="74" t="s">
        <v>229</v>
      </c>
      <c r="C1801" s="74" t="s">
        <v>230</v>
      </c>
      <c r="D1801" s="74" t="s">
        <v>30</v>
      </c>
      <c r="E1801" s="74" t="s">
        <v>68</v>
      </c>
      <c r="F1801" s="80">
        <v>9.538422467680473</v>
      </c>
    </row>
    <row r="1802">
      <c r="A1802" s="76">
        <v>78.0</v>
      </c>
      <c r="B1802" s="74" t="s">
        <v>28</v>
      </c>
      <c r="C1802" s="74" t="s">
        <v>29</v>
      </c>
      <c r="D1802" s="74" t="s">
        <v>11</v>
      </c>
      <c r="E1802" s="74" t="s">
        <v>46</v>
      </c>
      <c r="F1802" s="77">
        <v>11.668422467680474</v>
      </c>
    </row>
    <row r="1803">
      <c r="A1803" s="76">
        <v>88.0</v>
      </c>
      <c r="B1803" s="74" t="s">
        <v>200</v>
      </c>
      <c r="C1803" s="74" t="s">
        <v>206</v>
      </c>
      <c r="D1803" s="74" t="s">
        <v>11</v>
      </c>
      <c r="E1803" s="74" t="s">
        <v>88</v>
      </c>
      <c r="F1803" s="80">
        <v>33.87842246768047</v>
      </c>
    </row>
    <row r="1804">
      <c r="A1804" s="76">
        <v>7.0</v>
      </c>
      <c r="B1804" s="74" t="s">
        <v>114</v>
      </c>
      <c r="C1804" s="74" t="s">
        <v>115</v>
      </c>
      <c r="D1804" s="74" t="s">
        <v>11</v>
      </c>
      <c r="E1804" s="74" t="s">
        <v>56</v>
      </c>
      <c r="F1804" s="77">
        <v>62.13842246768048</v>
      </c>
    </row>
    <row r="1805">
      <c r="A1805" s="76">
        <v>49.0</v>
      </c>
      <c r="B1805" s="74" t="s">
        <v>179</v>
      </c>
      <c r="C1805" s="74" t="s">
        <v>180</v>
      </c>
      <c r="D1805" s="74" t="s">
        <v>30</v>
      </c>
      <c r="E1805" s="74" t="s">
        <v>43</v>
      </c>
      <c r="F1805" s="80">
        <v>17.388422467680474</v>
      </c>
    </row>
    <row r="1806">
      <c r="A1806" s="76">
        <v>56.0</v>
      </c>
      <c r="B1806" s="74" t="s">
        <v>127</v>
      </c>
      <c r="C1806" s="74" t="s">
        <v>128</v>
      </c>
      <c r="D1806" s="74" t="s">
        <v>11</v>
      </c>
      <c r="E1806" s="74" t="s">
        <v>39</v>
      </c>
      <c r="F1806" s="77">
        <v>26.468422467680476</v>
      </c>
    </row>
    <row r="1807">
      <c r="A1807" s="76">
        <v>98.0</v>
      </c>
      <c r="B1807" s="74" t="s">
        <v>159</v>
      </c>
      <c r="C1807" s="74" t="s">
        <v>196</v>
      </c>
      <c r="D1807" s="74" t="s">
        <v>11</v>
      </c>
      <c r="E1807" s="74" t="s">
        <v>68</v>
      </c>
      <c r="F1807" s="80">
        <v>18.218422467680476</v>
      </c>
    </row>
    <row r="1808">
      <c r="A1808" s="76">
        <v>79.0</v>
      </c>
      <c r="B1808" s="74" t="s">
        <v>101</v>
      </c>
      <c r="C1808" s="74" t="s">
        <v>102</v>
      </c>
      <c r="D1808" s="74" t="s">
        <v>30</v>
      </c>
      <c r="E1808" s="74" t="s">
        <v>94</v>
      </c>
      <c r="F1808" s="77">
        <v>30.608422467680477</v>
      </c>
    </row>
    <row r="1809">
      <c r="A1809" s="76">
        <v>79.0</v>
      </c>
      <c r="B1809" s="74" t="s">
        <v>101</v>
      </c>
      <c r="C1809" s="74" t="s">
        <v>102</v>
      </c>
      <c r="D1809" s="74" t="s">
        <v>30</v>
      </c>
      <c r="E1809" s="74" t="s">
        <v>46</v>
      </c>
      <c r="F1809" s="80">
        <v>11.958422467680473</v>
      </c>
    </row>
    <row r="1810">
      <c r="A1810" s="76">
        <v>24.0</v>
      </c>
      <c r="B1810" s="74" t="s">
        <v>139</v>
      </c>
      <c r="C1810" s="74" t="s">
        <v>140</v>
      </c>
      <c r="D1810" s="74" t="s">
        <v>30</v>
      </c>
      <c r="E1810" s="74" t="s">
        <v>97</v>
      </c>
      <c r="F1810" s="77">
        <v>4.148422467680474</v>
      </c>
    </row>
    <row r="1811">
      <c r="A1811" s="76">
        <v>5.0</v>
      </c>
      <c r="B1811" s="74" t="s">
        <v>167</v>
      </c>
      <c r="C1811" s="74" t="s">
        <v>168</v>
      </c>
      <c r="D1811" s="74" t="s">
        <v>11</v>
      </c>
      <c r="E1811" s="74" t="s">
        <v>91</v>
      </c>
      <c r="F1811" s="80">
        <v>2.028422467680474</v>
      </c>
    </row>
    <row r="1812">
      <c r="A1812" s="76">
        <v>9.0</v>
      </c>
      <c r="B1812" s="74" t="s">
        <v>207</v>
      </c>
      <c r="C1812" s="74" t="s">
        <v>208</v>
      </c>
      <c r="D1812" s="74" t="s">
        <v>30</v>
      </c>
      <c r="E1812" s="74" t="s">
        <v>50</v>
      </c>
      <c r="F1812" s="77">
        <v>22.448422467680476</v>
      </c>
    </row>
    <row r="1813">
      <c r="A1813" s="76">
        <v>77.0</v>
      </c>
      <c r="B1813" s="74" t="s">
        <v>9</v>
      </c>
      <c r="C1813" s="74" t="s">
        <v>169</v>
      </c>
      <c r="D1813" s="74" t="s">
        <v>11</v>
      </c>
      <c r="E1813" s="74" t="s">
        <v>39</v>
      </c>
      <c r="F1813" s="80">
        <v>32.798422467680474</v>
      </c>
    </row>
    <row r="1814">
      <c r="A1814" s="76">
        <v>16.0</v>
      </c>
      <c r="B1814" s="74" t="s">
        <v>175</v>
      </c>
      <c r="C1814" s="74" t="s">
        <v>176</v>
      </c>
      <c r="D1814" s="74" t="s">
        <v>30</v>
      </c>
      <c r="E1814" s="74" t="s">
        <v>43</v>
      </c>
      <c r="F1814" s="77">
        <v>18.738422467680476</v>
      </c>
    </row>
    <row r="1815">
      <c r="A1815" s="76">
        <v>90.0</v>
      </c>
      <c r="B1815" s="74" t="s">
        <v>219</v>
      </c>
      <c r="C1815" s="74" t="s">
        <v>220</v>
      </c>
      <c r="D1815" s="74" t="s">
        <v>11</v>
      </c>
      <c r="E1815" s="74" t="s">
        <v>60</v>
      </c>
      <c r="F1815" s="80">
        <v>45.158422467680474</v>
      </c>
    </row>
    <row r="1816">
      <c r="A1816" s="76">
        <v>53.0</v>
      </c>
      <c r="B1816" s="74" t="s">
        <v>241</v>
      </c>
      <c r="C1816" s="74" t="s">
        <v>242</v>
      </c>
      <c r="D1816" s="74" t="s">
        <v>11</v>
      </c>
      <c r="E1816" s="74" t="s">
        <v>31</v>
      </c>
      <c r="F1816" s="77">
        <v>50.84842246768047</v>
      </c>
    </row>
    <row r="1817">
      <c r="A1817" s="76">
        <v>56.0</v>
      </c>
      <c r="B1817" s="74" t="s">
        <v>127</v>
      </c>
      <c r="C1817" s="74" t="s">
        <v>128</v>
      </c>
      <c r="D1817" s="74" t="s">
        <v>11</v>
      </c>
      <c r="E1817" s="74" t="s">
        <v>56</v>
      </c>
      <c r="F1817" s="80">
        <v>68.56842246768046</v>
      </c>
    </row>
    <row r="1818">
      <c r="A1818" s="76">
        <v>52.0</v>
      </c>
      <c r="B1818" s="74" t="s">
        <v>181</v>
      </c>
      <c r="C1818" s="74" t="s">
        <v>182</v>
      </c>
      <c r="D1818" s="74" t="s">
        <v>11</v>
      </c>
      <c r="E1818" s="74" t="s">
        <v>39</v>
      </c>
      <c r="F1818" s="77">
        <v>17.368422467680475</v>
      </c>
    </row>
    <row r="1819">
      <c r="A1819" s="76">
        <v>93.0</v>
      </c>
      <c r="B1819" s="74" t="s">
        <v>129</v>
      </c>
      <c r="C1819" s="74" t="s">
        <v>130</v>
      </c>
      <c r="D1819" s="74" t="s">
        <v>30</v>
      </c>
      <c r="E1819" s="74" t="s">
        <v>31</v>
      </c>
      <c r="F1819" s="80">
        <v>42.67842246768048</v>
      </c>
    </row>
    <row r="1820">
      <c r="A1820" s="76">
        <v>7.0</v>
      </c>
      <c r="B1820" s="74" t="s">
        <v>114</v>
      </c>
      <c r="C1820" s="74" t="s">
        <v>115</v>
      </c>
      <c r="D1820" s="74" t="s">
        <v>11</v>
      </c>
      <c r="E1820" s="74" t="s">
        <v>39</v>
      </c>
      <c r="F1820" s="77">
        <v>28.968422467680476</v>
      </c>
    </row>
    <row r="1821">
      <c r="A1821" s="76">
        <v>53.0</v>
      </c>
      <c r="B1821" s="74" t="s">
        <v>241</v>
      </c>
      <c r="C1821" s="74" t="s">
        <v>242</v>
      </c>
      <c r="D1821" s="74" t="s">
        <v>11</v>
      </c>
      <c r="E1821" s="74" t="s">
        <v>52</v>
      </c>
      <c r="F1821" s="80">
        <v>59.468422467680476</v>
      </c>
    </row>
    <row r="1822">
      <c r="A1822" s="76">
        <v>97.0</v>
      </c>
      <c r="B1822" s="74" t="s">
        <v>69</v>
      </c>
      <c r="C1822" s="74" t="s">
        <v>70</v>
      </c>
      <c r="D1822" s="74" t="s">
        <v>30</v>
      </c>
      <c r="E1822" s="74" t="s">
        <v>50</v>
      </c>
      <c r="F1822" s="77">
        <v>24.318422467680474</v>
      </c>
    </row>
    <row r="1823">
      <c r="A1823" s="76">
        <v>5.0</v>
      </c>
      <c r="B1823" s="74" t="s">
        <v>167</v>
      </c>
      <c r="C1823" s="74" t="s">
        <v>168</v>
      </c>
      <c r="D1823" s="74" t="s">
        <v>30</v>
      </c>
      <c r="E1823" s="74" t="s">
        <v>85</v>
      </c>
      <c r="F1823" s="80">
        <v>14.818422467680474</v>
      </c>
    </row>
    <row r="1824">
      <c r="A1824" s="76">
        <v>83.0</v>
      </c>
      <c r="B1824" s="74" t="s">
        <v>98</v>
      </c>
      <c r="C1824" s="74" t="s">
        <v>99</v>
      </c>
      <c r="D1824" s="74" t="s">
        <v>11</v>
      </c>
      <c r="E1824" s="74" t="s">
        <v>85</v>
      </c>
      <c r="F1824" s="77">
        <v>13.118422467680473</v>
      </c>
    </row>
    <row r="1825">
      <c r="A1825" s="76">
        <v>72.0</v>
      </c>
      <c r="B1825" s="74" t="s">
        <v>133</v>
      </c>
      <c r="C1825" s="74" t="s">
        <v>134</v>
      </c>
      <c r="D1825" s="74" t="s">
        <v>11</v>
      </c>
      <c r="E1825" s="74" t="s">
        <v>39</v>
      </c>
      <c r="F1825" s="80">
        <v>35.258422467680475</v>
      </c>
    </row>
    <row r="1826">
      <c r="A1826" s="76">
        <v>99.0</v>
      </c>
      <c r="B1826" s="74" t="s">
        <v>73</v>
      </c>
      <c r="C1826" s="74" t="s">
        <v>74</v>
      </c>
      <c r="D1826" s="74" t="s">
        <v>11</v>
      </c>
      <c r="E1826" s="74" t="s">
        <v>97</v>
      </c>
      <c r="F1826" s="77">
        <v>2.2484224676804736</v>
      </c>
    </row>
    <row r="1827">
      <c r="A1827" s="76">
        <v>84.0</v>
      </c>
      <c r="B1827" s="74" t="s">
        <v>141</v>
      </c>
      <c r="C1827" s="74" t="s">
        <v>142</v>
      </c>
      <c r="D1827" s="74" t="s">
        <v>11</v>
      </c>
      <c r="E1827" s="74" t="s">
        <v>56</v>
      </c>
      <c r="F1827" s="80">
        <v>63.78842246768047</v>
      </c>
    </row>
    <row r="1828">
      <c r="A1828" s="76">
        <v>99.0</v>
      </c>
      <c r="B1828" s="74" t="s">
        <v>73</v>
      </c>
      <c r="C1828" s="74" t="s">
        <v>74</v>
      </c>
      <c r="D1828" s="74" t="s">
        <v>11</v>
      </c>
      <c r="E1828" s="74" t="s">
        <v>91</v>
      </c>
      <c r="F1828" s="77">
        <v>0.8984224676804737</v>
      </c>
    </row>
    <row r="1829">
      <c r="A1829" s="76">
        <v>46.0</v>
      </c>
      <c r="B1829" s="74" t="s">
        <v>143</v>
      </c>
      <c r="C1829" s="74" t="s">
        <v>144</v>
      </c>
      <c r="D1829" s="74" t="s">
        <v>11</v>
      </c>
      <c r="E1829" s="74" t="s">
        <v>39</v>
      </c>
      <c r="F1829" s="80">
        <v>30.188422467680475</v>
      </c>
    </row>
    <row r="1830">
      <c r="A1830" s="76">
        <v>50.0</v>
      </c>
      <c r="B1830" s="74" t="s">
        <v>33</v>
      </c>
      <c r="C1830" s="74" t="s">
        <v>34</v>
      </c>
      <c r="D1830" s="74" t="s">
        <v>30</v>
      </c>
      <c r="E1830" s="74" t="s">
        <v>43</v>
      </c>
      <c r="F1830" s="77">
        <v>15.878422467680474</v>
      </c>
    </row>
    <row r="1831">
      <c r="A1831" s="76">
        <v>80.0</v>
      </c>
      <c r="B1831" s="74" t="s">
        <v>37</v>
      </c>
      <c r="C1831" s="74" t="s">
        <v>38</v>
      </c>
      <c r="D1831" s="74" t="s">
        <v>30</v>
      </c>
      <c r="E1831" s="74" t="s">
        <v>68</v>
      </c>
      <c r="F1831" s="80">
        <v>11.028422467680473</v>
      </c>
    </row>
    <row r="1832">
      <c r="A1832" s="76">
        <v>72.0</v>
      </c>
      <c r="B1832" s="74" t="s">
        <v>133</v>
      </c>
      <c r="C1832" s="74" t="s">
        <v>134</v>
      </c>
      <c r="D1832" s="74" t="s">
        <v>11</v>
      </c>
      <c r="E1832" s="74" t="s">
        <v>50</v>
      </c>
      <c r="F1832" s="77">
        <v>29.578422467680475</v>
      </c>
    </row>
    <row r="1833">
      <c r="A1833" s="76">
        <v>51.0</v>
      </c>
      <c r="B1833" s="74" t="s">
        <v>233</v>
      </c>
      <c r="C1833" s="74" t="s">
        <v>234</v>
      </c>
      <c r="D1833" s="74" t="s">
        <v>11</v>
      </c>
      <c r="E1833" s="74" t="s">
        <v>43</v>
      </c>
      <c r="F1833" s="80">
        <v>17.588422467680473</v>
      </c>
    </row>
    <row r="1834">
      <c r="A1834" s="76">
        <v>41.0</v>
      </c>
      <c r="B1834" s="74" t="s">
        <v>217</v>
      </c>
      <c r="C1834" s="74" t="s">
        <v>218</v>
      </c>
      <c r="D1834" s="74" t="s">
        <v>11</v>
      </c>
      <c r="E1834" s="74" t="s">
        <v>50</v>
      </c>
      <c r="F1834" s="77">
        <v>30.278422467680475</v>
      </c>
    </row>
    <row r="1835">
      <c r="A1835" s="76">
        <v>96.0</v>
      </c>
      <c r="B1835" s="74" t="s">
        <v>163</v>
      </c>
      <c r="C1835" s="74" t="s">
        <v>164</v>
      </c>
      <c r="D1835" s="74" t="s">
        <v>30</v>
      </c>
      <c r="E1835" s="74" t="s">
        <v>91</v>
      </c>
      <c r="F1835" s="80">
        <v>0.8784224676804737</v>
      </c>
    </row>
    <row r="1836">
      <c r="A1836" s="76">
        <v>96.0</v>
      </c>
      <c r="B1836" s="74" t="s">
        <v>163</v>
      </c>
      <c r="C1836" s="74" t="s">
        <v>164</v>
      </c>
      <c r="D1836" s="74" t="s">
        <v>30</v>
      </c>
      <c r="E1836" s="74" t="s">
        <v>46</v>
      </c>
      <c r="F1836" s="77">
        <v>12.238422467680474</v>
      </c>
    </row>
    <row r="1837">
      <c r="A1837" s="76">
        <v>15.0</v>
      </c>
      <c r="B1837" s="74" t="s">
        <v>58</v>
      </c>
      <c r="C1837" s="74" t="s">
        <v>59</v>
      </c>
      <c r="D1837" s="74" t="s">
        <v>30</v>
      </c>
      <c r="E1837" s="74" t="s">
        <v>76</v>
      </c>
      <c r="F1837" s="80">
        <v>11.538422467680473</v>
      </c>
    </row>
    <row r="1838">
      <c r="A1838" s="76">
        <v>82.0</v>
      </c>
      <c r="B1838" s="74" t="s">
        <v>231</v>
      </c>
      <c r="C1838" s="74" t="s">
        <v>232</v>
      </c>
      <c r="D1838" s="74" t="s">
        <v>11</v>
      </c>
      <c r="E1838" s="74" t="s">
        <v>82</v>
      </c>
      <c r="F1838" s="77">
        <v>12.838422467680473</v>
      </c>
    </row>
    <row r="1839">
      <c r="A1839" s="76">
        <v>95.0</v>
      </c>
      <c r="B1839" s="74" t="s">
        <v>110</v>
      </c>
      <c r="C1839" s="74" t="s">
        <v>111</v>
      </c>
      <c r="D1839" s="74" t="s">
        <v>11</v>
      </c>
      <c r="E1839" s="74" t="s">
        <v>35</v>
      </c>
      <c r="F1839" s="80">
        <v>14.138422467680472</v>
      </c>
    </row>
    <row r="1840">
      <c r="A1840" s="76">
        <v>11.0</v>
      </c>
      <c r="B1840" s="74" t="s">
        <v>227</v>
      </c>
      <c r="C1840" s="74" t="s">
        <v>228</v>
      </c>
      <c r="D1840" s="74" t="s">
        <v>11</v>
      </c>
      <c r="E1840" s="74" t="s">
        <v>60</v>
      </c>
      <c r="F1840" s="77">
        <v>36.158422467680474</v>
      </c>
    </row>
    <row r="1841">
      <c r="A1841" s="76">
        <v>28.0</v>
      </c>
      <c r="B1841" s="74" t="s">
        <v>77</v>
      </c>
      <c r="C1841" s="74" t="s">
        <v>78</v>
      </c>
      <c r="D1841" s="74" t="s">
        <v>11</v>
      </c>
      <c r="E1841" s="74" t="s">
        <v>97</v>
      </c>
      <c r="F1841" s="80">
        <v>1.2184224676804736</v>
      </c>
    </row>
    <row r="1842">
      <c r="A1842" s="76">
        <v>35.0</v>
      </c>
      <c r="B1842" s="74" t="s">
        <v>125</v>
      </c>
      <c r="C1842" s="74" t="s">
        <v>126</v>
      </c>
      <c r="D1842" s="74" t="s">
        <v>11</v>
      </c>
      <c r="E1842" s="74" t="s">
        <v>35</v>
      </c>
      <c r="F1842" s="77">
        <v>19.528422467680475</v>
      </c>
    </row>
    <row r="1843">
      <c r="A1843" s="76">
        <v>37.0</v>
      </c>
      <c r="B1843" s="74" t="s">
        <v>245</v>
      </c>
      <c r="C1843" s="74" t="s">
        <v>246</v>
      </c>
      <c r="D1843" s="74" t="s">
        <v>30</v>
      </c>
      <c r="E1843" s="74" t="s">
        <v>72</v>
      </c>
      <c r="F1843" s="80">
        <v>15.328422467680474</v>
      </c>
    </row>
    <row r="1844">
      <c r="A1844" s="76">
        <v>51.0</v>
      </c>
      <c r="B1844" s="74" t="s">
        <v>233</v>
      </c>
      <c r="C1844" s="74" t="s">
        <v>234</v>
      </c>
      <c r="D1844" s="74" t="s">
        <v>11</v>
      </c>
      <c r="E1844" s="74" t="s">
        <v>50</v>
      </c>
      <c r="F1844" s="77">
        <v>21.378422467680476</v>
      </c>
    </row>
    <row r="1845">
      <c r="A1845" s="76">
        <v>75.0</v>
      </c>
      <c r="B1845" s="74" t="s">
        <v>238</v>
      </c>
      <c r="C1845" s="74" t="s">
        <v>239</v>
      </c>
      <c r="D1845" s="74" t="s">
        <v>11</v>
      </c>
      <c r="E1845" s="74" t="s">
        <v>94</v>
      </c>
      <c r="F1845" s="80">
        <v>30.178422467680473</v>
      </c>
    </row>
    <row r="1846">
      <c r="A1846" s="76">
        <v>58.0</v>
      </c>
      <c r="B1846" s="74" t="s">
        <v>165</v>
      </c>
      <c r="C1846" s="74" t="s">
        <v>166</v>
      </c>
      <c r="D1846" s="74" t="s">
        <v>11</v>
      </c>
      <c r="E1846" s="74" t="s">
        <v>94</v>
      </c>
      <c r="F1846" s="77">
        <v>28.168422467680475</v>
      </c>
    </row>
    <row r="1847">
      <c r="A1847" s="76">
        <v>16.0</v>
      </c>
      <c r="B1847" s="74" t="s">
        <v>175</v>
      </c>
      <c r="C1847" s="74" t="s">
        <v>176</v>
      </c>
      <c r="D1847" s="74" t="s">
        <v>30</v>
      </c>
      <c r="E1847" s="74" t="s">
        <v>56</v>
      </c>
      <c r="F1847" s="80">
        <v>75.63842246768047</v>
      </c>
    </row>
    <row r="1848">
      <c r="A1848" s="76">
        <v>16.0</v>
      </c>
      <c r="B1848" s="74" t="s">
        <v>175</v>
      </c>
      <c r="C1848" s="74" t="s">
        <v>176</v>
      </c>
      <c r="D1848" s="74" t="s">
        <v>11</v>
      </c>
      <c r="E1848" s="74" t="s">
        <v>31</v>
      </c>
      <c r="F1848" s="77">
        <v>42.55842246768047</v>
      </c>
    </row>
    <row r="1849">
      <c r="A1849" s="76">
        <v>84.0</v>
      </c>
      <c r="B1849" s="74" t="s">
        <v>141</v>
      </c>
      <c r="C1849" s="74" t="s">
        <v>142</v>
      </c>
      <c r="D1849" s="74" t="s">
        <v>30</v>
      </c>
      <c r="E1849" s="74" t="s">
        <v>39</v>
      </c>
      <c r="F1849" s="80">
        <v>29.798422467680474</v>
      </c>
    </row>
    <row r="1850">
      <c r="A1850" s="76">
        <v>83.0</v>
      </c>
      <c r="B1850" s="74" t="s">
        <v>98</v>
      </c>
      <c r="C1850" s="74" t="s">
        <v>99</v>
      </c>
      <c r="D1850" s="74" t="s">
        <v>30</v>
      </c>
      <c r="E1850" s="74" t="s">
        <v>88</v>
      </c>
      <c r="F1850" s="77">
        <v>39.55842246768047</v>
      </c>
    </row>
    <row r="1851">
      <c r="A1851" s="76">
        <v>95.0</v>
      </c>
      <c r="B1851" s="74" t="s">
        <v>110</v>
      </c>
      <c r="C1851" s="74" t="s">
        <v>111</v>
      </c>
      <c r="D1851" s="74" t="s">
        <v>11</v>
      </c>
      <c r="E1851" s="74" t="s">
        <v>46</v>
      </c>
      <c r="F1851" s="80">
        <v>10.938422467680473</v>
      </c>
    </row>
    <row r="1852">
      <c r="A1852" s="76">
        <v>39.0</v>
      </c>
      <c r="B1852" s="74" t="s">
        <v>89</v>
      </c>
      <c r="C1852" s="74" t="s">
        <v>90</v>
      </c>
      <c r="D1852" s="74" t="s">
        <v>11</v>
      </c>
      <c r="E1852" s="74" t="s">
        <v>94</v>
      </c>
      <c r="F1852" s="77">
        <v>24.718422467680476</v>
      </c>
    </row>
    <row r="1853">
      <c r="A1853" s="76">
        <v>54.0</v>
      </c>
      <c r="B1853" s="74" t="s">
        <v>86</v>
      </c>
      <c r="C1853" s="74" t="s">
        <v>87</v>
      </c>
      <c r="D1853" s="74" t="s">
        <v>11</v>
      </c>
      <c r="E1853" s="74" t="s">
        <v>76</v>
      </c>
      <c r="F1853" s="80">
        <v>9.508422467680473</v>
      </c>
    </row>
    <row r="1854">
      <c r="A1854" s="76">
        <v>50.0</v>
      </c>
      <c r="B1854" s="74" t="s">
        <v>33</v>
      </c>
      <c r="C1854" s="74" t="s">
        <v>34</v>
      </c>
      <c r="D1854" s="74" t="s">
        <v>11</v>
      </c>
      <c r="E1854" s="74" t="s">
        <v>35</v>
      </c>
      <c r="F1854" s="77">
        <v>18.538422467680476</v>
      </c>
    </row>
    <row r="1855">
      <c r="A1855" s="76">
        <v>79.0</v>
      </c>
      <c r="B1855" s="74" t="s">
        <v>101</v>
      </c>
      <c r="C1855" s="74" t="s">
        <v>102</v>
      </c>
      <c r="D1855" s="74" t="s">
        <v>30</v>
      </c>
      <c r="E1855" s="74" t="s">
        <v>82</v>
      </c>
      <c r="F1855" s="80">
        <v>9.868422467680473</v>
      </c>
    </row>
    <row r="1856">
      <c r="A1856" s="76">
        <v>98.0</v>
      </c>
      <c r="B1856" s="74" t="s">
        <v>159</v>
      </c>
      <c r="C1856" s="74" t="s">
        <v>196</v>
      </c>
      <c r="D1856" s="74" t="s">
        <v>30</v>
      </c>
      <c r="E1856" s="74" t="s">
        <v>46</v>
      </c>
      <c r="F1856" s="77">
        <v>11.618422467680473</v>
      </c>
    </row>
    <row r="1857">
      <c r="A1857" s="76">
        <v>19.0</v>
      </c>
      <c r="B1857" s="74" t="s">
        <v>41</v>
      </c>
      <c r="C1857" s="74" t="s">
        <v>193</v>
      </c>
      <c r="D1857" s="74" t="s">
        <v>11</v>
      </c>
      <c r="E1857" s="74" t="s">
        <v>85</v>
      </c>
      <c r="F1857" s="80">
        <v>14.168422467680474</v>
      </c>
    </row>
    <row r="1858">
      <c r="A1858" s="76">
        <v>16.0</v>
      </c>
      <c r="B1858" s="74" t="s">
        <v>175</v>
      </c>
      <c r="C1858" s="74" t="s">
        <v>176</v>
      </c>
      <c r="D1858" s="74" t="s">
        <v>30</v>
      </c>
      <c r="E1858" s="74" t="s">
        <v>46</v>
      </c>
      <c r="F1858" s="77">
        <v>10.788422467680473</v>
      </c>
    </row>
    <row r="1859">
      <c r="A1859" s="76">
        <v>71.0</v>
      </c>
      <c r="B1859" s="74" t="s">
        <v>150</v>
      </c>
      <c r="C1859" s="74" t="s">
        <v>151</v>
      </c>
      <c r="D1859" s="74" t="s">
        <v>30</v>
      </c>
      <c r="E1859" s="74" t="s">
        <v>72</v>
      </c>
      <c r="F1859" s="80">
        <v>20.508422467680475</v>
      </c>
    </row>
    <row r="1860">
      <c r="A1860" s="76">
        <v>57.0</v>
      </c>
      <c r="B1860" s="74" t="s">
        <v>92</v>
      </c>
      <c r="C1860" s="74" t="s">
        <v>190</v>
      </c>
      <c r="D1860" s="74" t="s">
        <v>11</v>
      </c>
      <c r="E1860" s="74" t="s">
        <v>68</v>
      </c>
      <c r="F1860" s="77">
        <v>14.388422467680472</v>
      </c>
    </row>
    <row r="1861">
      <c r="A1861" s="76">
        <v>61.0</v>
      </c>
      <c r="B1861" s="74" t="s">
        <v>106</v>
      </c>
      <c r="C1861" s="74" t="s">
        <v>107</v>
      </c>
      <c r="D1861" s="74" t="s">
        <v>30</v>
      </c>
      <c r="E1861" s="74" t="s">
        <v>39</v>
      </c>
      <c r="F1861" s="80">
        <v>40.898422467680476</v>
      </c>
    </row>
    <row r="1862">
      <c r="A1862" s="76">
        <v>2.0</v>
      </c>
      <c r="B1862" s="74" t="s">
        <v>83</v>
      </c>
      <c r="C1862" s="74" t="s">
        <v>84</v>
      </c>
      <c r="D1862" s="74" t="s">
        <v>11</v>
      </c>
      <c r="E1862" s="74" t="s">
        <v>85</v>
      </c>
      <c r="F1862" s="77">
        <v>13.408422467680474</v>
      </c>
    </row>
    <row r="1863">
      <c r="A1863" s="76">
        <v>51.0</v>
      </c>
      <c r="B1863" s="74" t="s">
        <v>233</v>
      </c>
      <c r="C1863" s="74" t="s">
        <v>234</v>
      </c>
      <c r="D1863" s="74" t="s">
        <v>30</v>
      </c>
      <c r="E1863" s="74" t="s">
        <v>56</v>
      </c>
      <c r="F1863" s="80">
        <v>78.40842246768047</v>
      </c>
    </row>
    <row r="1864">
      <c r="A1864" s="76">
        <v>96.0</v>
      </c>
      <c r="B1864" s="74" t="s">
        <v>163</v>
      </c>
      <c r="C1864" s="74" t="s">
        <v>164</v>
      </c>
      <c r="D1864" s="74" t="s">
        <v>11</v>
      </c>
      <c r="E1864" s="74" t="s">
        <v>39</v>
      </c>
      <c r="F1864" s="77">
        <v>20.468422467680476</v>
      </c>
    </row>
    <row r="1865">
      <c r="A1865" s="76">
        <v>100.0</v>
      </c>
      <c r="B1865" s="74" t="s">
        <v>48</v>
      </c>
      <c r="C1865" s="74" t="s">
        <v>49</v>
      </c>
      <c r="D1865" s="74" t="s">
        <v>30</v>
      </c>
      <c r="E1865" s="74" t="s">
        <v>97</v>
      </c>
      <c r="F1865" s="80">
        <v>0.9884224676804736</v>
      </c>
    </row>
    <row r="1866">
      <c r="A1866" s="76">
        <v>93.0</v>
      </c>
      <c r="B1866" s="74" t="s">
        <v>129</v>
      </c>
      <c r="C1866" s="74" t="s">
        <v>130</v>
      </c>
      <c r="D1866" s="74" t="s">
        <v>11</v>
      </c>
      <c r="E1866" s="74" t="s">
        <v>76</v>
      </c>
      <c r="F1866" s="77">
        <v>9.868422467680473</v>
      </c>
    </row>
    <row r="1867">
      <c r="A1867" s="76">
        <v>33.0</v>
      </c>
      <c r="B1867" s="74" t="s">
        <v>191</v>
      </c>
      <c r="C1867" s="74" t="s">
        <v>192</v>
      </c>
      <c r="D1867" s="74" t="s">
        <v>11</v>
      </c>
      <c r="E1867" s="74" t="s">
        <v>39</v>
      </c>
      <c r="F1867" s="80">
        <v>26.568422467680474</v>
      </c>
    </row>
    <row r="1868">
      <c r="A1868" s="76">
        <v>90.0</v>
      </c>
      <c r="B1868" s="74" t="s">
        <v>219</v>
      </c>
      <c r="C1868" s="74" t="s">
        <v>220</v>
      </c>
      <c r="D1868" s="74" t="s">
        <v>30</v>
      </c>
      <c r="E1868" s="74" t="s">
        <v>52</v>
      </c>
      <c r="F1868" s="77">
        <v>52.718422467680476</v>
      </c>
    </row>
    <row r="1869">
      <c r="A1869" s="76">
        <v>2.0</v>
      </c>
      <c r="B1869" s="74" t="s">
        <v>83</v>
      </c>
      <c r="C1869" s="74" t="s">
        <v>84</v>
      </c>
      <c r="D1869" s="74" t="s">
        <v>30</v>
      </c>
      <c r="E1869" s="74" t="s">
        <v>50</v>
      </c>
      <c r="F1869" s="80">
        <v>27.088422467680473</v>
      </c>
    </row>
    <row r="1870">
      <c r="A1870" s="76">
        <v>17.0</v>
      </c>
      <c r="B1870" s="74" t="s">
        <v>200</v>
      </c>
      <c r="C1870" s="74" t="s">
        <v>201</v>
      </c>
      <c r="D1870" s="74" t="s">
        <v>30</v>
      </c>
      <c r="E1870" s="74" t="s">
        <v>85</v>
      </c>
      <c r="F1870" s="77">
        <v>13.358422467680473</v>
      </c>
    </row>
    <row r="1871">
      <c r="A1871" s="76">
        <v>95.0</v>
      </c>
      <c r="B1871" s="74" t="s">
        <v>110</v>
      </c>
      <c r="C1871" s="74" t="s">
        <v>111</v>
      </c>
      <c r="D1871" s="74" t="s">
        <v>30</v>
      </c>
      <c r="E1871" s="74" t="s">
        <v>50</v>
      </c>
      <c r="F1871" s="80">
        <v>30.088422467680473</v>
      </c>
    </row>
    <row r="1872">
      <c r="A1872" s="76">
        <v>83.0</v>
      </c>
      <c r="B1872" s="74" t="s">
        <v>98</v>
      </c>
      <c r="C1872" s="74" t="s">
        <v>99</v>
      </c>
      <c r="D1872" s="74" t="s">
        <v>11</v>
      </c>
      <c r="E1872" s="74" t="s">
        <v>31</v>
      </c>
      <c r="F1872" s="77">
        <v>41.83842246768047</v>
      </c>
    </row>
    <row r="1873">
      <c r="A1873" s="76">
        <v>91.0</v>
      </c>
      <c r="B1873" s="74" t="s">
        <v>112</v>
      </c>
      <c r="C1873" s="74" t="s">
        <v>113</v>
      </c>
      <c r="D1873" s="74" t="s">
        <v>30</v>
      </c>
      <c r="E1873" s="74" t="s">
        <v>79</v>
      </c>
      <c r="F1873" s="80">
        <v>36.31842246768048</v>
      </c>
    </row>
    <row r="1874">
      <c r="A1874" s="76">
        <v>66.0</v>
      </c>
      <c r="B1874" s="74" t="s">
        <v>150</v>
      </c>
      <c r="C1874" s="74" t="s">
        <v>158</v>
      </c>
      <c r="D1874" s="74" t="s">
        <v>11</v>
      </c>
      <c r="E1874" s="74" t="s">
        <v>46</v>
      </c>
      <c r="F1874" s="77">
        <v>13.718422467680472</v>
      </c>
    </row>
    <row r="1875">
      <c r="A1875" s="76">
        <v>27.0</v>
      </c>
      <c r="B1875" s="74" t="s">
        <v>173</v>
      </c>
      <c r="C1875" s="74" t="s">
        <v>174</v>
      </c>
      <c r="D1875" s="74" t="s">
        <v>11</v>
      </c>
      <c r="E1875" s="74" t="s">
        <v>88</v>
      </c>
      <c r="F1875" s="80">
        <v>31.608422467680477</v>
      </c>
    </row>
    <row r="1876">
      <c r="A1876" s="76">
        <v>78.0</v>
      </c>
      <c r="B1876" s="74" t="s">
        <v>28</v>
      </c>
      <c r="C1876" s="74" t="s">
        <v>29</v>
      </c>
      <c r="D1876" s="74" t="s">
        <v>11</v>
      </c>
      <c r="E1876" s="74" t="s">
        <v>91</v>
      </c>
      <c r="F1876" s="77">
        <v>1.868422467680474</v>
      </c>
    </row>
    <row r="1877">
      <c r="A1877" s="76">
        <v>49.0</v>
      </c>
      <c r="B1877" s="74" t="s">
        <v>179</v>
      </c>
      <c r="C1877" s="74" t="s">
        <v>180</v>
      </c>
      <c r="D1877" s="74" t="s">
        <v>30</v>
      </c>
      <c r="E1877" s="74" t="s">
        <v>56</v>
      </c>
      <c r="F1877" s="80">
        <v>67.78842246768046</v>
      </c>
    </row>
    <row r="1878">
      <c r="A1878" s="76">
        <v>58.0</v>
      </c>
      <c r="B1878" s="74" t="s">
        <v>165</v>
      </c>
      <c r="C1878" s="74" t="s">
        <v>166</v>
      </c>
      <c r="D1878" s="74" t="s">
        <v>11</v>
      </c>
      <c r="E1878" s="74" t="s">
        <v>12</v>
      </c>
      <c r="F1878" s="77">
        <v>9.258422467680473</v>
      </c>
    </row>
    <row r="1879">
      <c r="A1879" s="76">
        <v>24.0</v>
      </c>
      <c r="B1879" s="74" t="s">
        <v>139</v>
      </c>
      <c r="C1879" s="74" t="s">
        <v>140</v>
      </c>
      <c r="D1879" s="74" t="s">
        <v>11</v>
      </c>
      <c r="E1879" s="74" t="s">
        <v>56</v>
      </c>
      <c r="F1879" s="80">
        <v>58.258422467680475</v>
      </c>
    </row>
    <row r="1880">
      <c r="A1880" s="76">
        <v>24.0</v>
      </c>
      <c r="B1880" s="74" t="s">
        <v>139</v>
      </c>
      <c r="C1880" s="74" t="s">
        <v>140</v>
      </c>
      <c r="D1880" s="74" t="s">
        <v>30</v>
      </c>
      <c r="E1880" s="74" t="s">
        <v>85</v>
      </c>
      <c r="F1880" s="77">
        <v>12.938422467680473</v>
      </c>
    </row>
    <row r="1881">
      <c r="A1881" s="76">
        <v>64.0</v>
      </c>
      <c r="B1881" s="74" t="s">
        <v>159</v>
      </c>
      <c r="C1881" s="74" t="s">
        <v>160</v>
      </c>
      <c r="D1881" s="74" t="s">
        <v>30</v>
      </c>
      <c r="E1881" s="74" t="s">
        <v>94</v>
      </c>
      <c r="F1881" s="80">
        <v>30.398422467680476</v>
      </c>
    </row>
    <row r="1882">
      <c r="A1882" s="76">
        <v>92.0</v>
      </c>
      <c r="B1882" s="74" t="s">
        <v>112</v>
      </c>
      <c r="C1882" s="74" t="s">
        <v>197</v>
      </c>
      <c r="D1882" s="74" t="s">
        <v>30</v>
      </c>
      <c r="E1882" s="74" t="s">
        <v>94</v>
      </c>
      <c r="F1882" s="77">
        <v>26.288422467680476</v>
      </c>
    </row>
    <row r="1883">
      <c r="A1883" s="76">
        <v>65.0</v>
      </c>
      <c r="B1883" s="74" t="s">
        <v>209</v>
      </c>
      <c r="C1883" s="74" t="s">
        <v>210</v>
      </c>
      <c r="D1883" s="74" t="s">
        <v>30</v>
      </c>
      <c r="E1883" s="74" t="s">
        <v>50</v>
      </c>
      <c r="F1883" s="80">
        <v>26.258422467680475</v>
      </c>
    </row>
    <row r="1884">
      <c r="A1884" s="76">
        <v>23.0</v>
      </c>
      <c r="B1884" s="74" t="s">
        <v>235</v>
      </c>
      <c r="C1884" s="74" t="s">
        <v>236</v>
      </c>
      <c r="D1884" s="74" t="s">
        <v>30</v>
      </c>
      <c r="E1884" s="74" t="s">
        <v>72</v>
      </c>
      <c r="F1884" s="77">
        <v>23.868422467680475</v>
      </c>
    </row>
    <row r="1885">
      <c r="A1885" s="76">
        <v>78.0</v>
      </c>
      <c r="B1885" s="74" t="s">
        <v>28</v>
      </c>
      <c r="C1885" s="74" t="s">
        <v>29</v>
      </c>
      <c r="D1885" s="74" t="s">
        <v>11</v>
      </c>
      <c r="E1885" s="74" t="s">
        <v>85</v>
      </c>
      <c r="F1885" s="80">
        <v>15.828422467680474</v>
      </c>
    </row>
    <row r="1886">
      <c r="A1886" s="76">
        <v>29.0</v>
      </c>
      <c r="B1886" s="74" t="s">
        <v>122</v>
      </c>
      <c r="C1886" s="74" t="s">
        <v>123</v>
      </c>
      <c r="D1886" s="74" t="s">
        <v>30</v>
      </c>
      <c r="E1886" s="74" t="s">
        <v>68</v>
      </c>
      <c r="F1886" s="77">
        <v>13.648422467680474</v>
      </c>
    </row>
    <row r="1887">
      <c r="A1887" s="76">
        <v>78.0</v>
      </c>
      <c r="B1887" s="74" t="s">
        <v>28</v>
      </c>
      <c r="C1887" s="74" t="s">
        <v>29</v>
      </c>
      <c r="D1887" s="74" t="s">
        <v>11</v>
      </c>
      <c r="E1887" s="74" t="s">
        <v>46</v>
      </c>
      <c r="F1887" s="80">
        <v>13.898422467680474</v>
      </c>
    </row>
    <row r="1888">
      <c r="A1888" s="76">
        <v>76.0</v>
      </c>
      <c r="B1888" s="74" t="s">
        <v>213</v>
      </c>
      <c r="C1888" s="74" t="s">
        <v>214</v>
      </c>
      <c r="D1888" s="74" t="s">
        <v>30</v>
      </c>
      <c r="E1888" s="74" t="s">
        <v>76</v>
      </c>
      <c r="F1888" s="77">
        <v>10.648422467680474</v>
      </c>
    </row>
    <row r="1889">
      <c r="A1889" s="76">
        <v>17.0</v>
      </c>
      <c r="B1889" s="74" t="s">
        <v>200</v>
      </c>
      <c r="C1889" s="74" t="s">
        <v>201</v>
      </c>
      <c r="D1889" s="74" t="s">
        <v>11</v>
      </c>
      <c r="E1889" s="74" t="s">
        <v>79</v>
      </c>
      <c r="F1889" s="80">
        <v>25.558422467680476</v>
      </c>
    </row>
    <row r="1890">
      <c r="A1890" s="76">
        <v>47.0</v>
      </c>
      <c r="B1890" s="74" t="s">
        <v>120</v>
      </c>
      <c r="C1890" s="74" t="s">
        <v>121</v>
      </c>
      <c r="D1890" s="74" t="s">
        <v>11</v>
      </c>
      <c r="E1890" s="74" t="s">
        <v>46</v>
      </c>
      <c r="F1890" s="77">
        <v>13.718422467680472</v>
      </c>
    </row>
    <row r="1891">
      <c r="A1891" s="76">
        <v>45.0</v>
      </c>
      <c r="B1891" s="74" t="s">
        <v>221</v>
      </c>
      <c r="C1891" s="74" t="s">
        <v>222</v>
      </c>
      <c r="D1891" s="74" t="s">
        <v>11</v>
      </c>
      <c r="E1891" s="74" t="s">
        <v>82</v>
      </c>
      <c r="F1891" s="80">
        <v>9.928422467680473</v>
      </c>
    </row>
    <row r="1892">
      <c r="A1892" s="76">
        <v>23.0</v>
      </c>
      <c r="B1892" s="74" t="s">
        <v>235</v>
      </c>
      <c r="C1892" s="74" t="s">
        <v>236</v>
      </c>
      <c r="D1892" s="74" t="s">
        <v>30</v>
      </c>
      <c r="E1892" s="74" t="s">
        <v>85</v>
      </c>
      <c r="F1892" s="77">
        <v>13.198422467680473</v>
      </c>
    </row>
    <row r="1893">
      <c r="A1893" s="76">
        <v>92.0</v>
      </c>
      <c r="B1893" s="74" t="s">
        <v>112</v>
      </c>
      <c r="C1893" s="74" t="s">
        <v>197</v>
      </c>
      <c r="D1893" s="74" t="s">
        <v>30</v>
      </c>
      <c r="E1893" s="74" t="s">
        <v>94</v>
      </c>
      <c r="F1893" s="80">
        <v>24.278422467680475</v>
      </c>
    </row>
    <row r="1894">
      <c r="A1894" s="76">
        <v>43.0</v>
      </c>
      <c r="B1894" s="74" t="s">
        <v>95</v>
      </c>
      <c r="C1894" s="74" t="s">
        <v>96</v>
      </c>
      <c r="D1894" s="74" t="s">
        <v>11</v>
      </c>
      <c r="E1894" s="74" t="s">
        <v>97</v>
      </c>
      <c r="F1894" s="77">
        <v>4.298422467680474</v>
      </c>
    </row>
    <row r="1895">
      <c r="A1895" s="76">
        <v>51.0</v>
      </c>
      <c r="B1895" s="74" t="s">
        <v>233</v>
      </c>
      <c r="C1895" s="74" t="s">
        <v>234</v>
      </c>
      <c r="D1895" s="74" t="s">
        <v>11</v>
      </c>
      <c r="E1895" s="74" t="s">
        <v>60</v>
      </c>
      <c r="F1895" s="80">
        <v>51.728422467680474</v>
      </c>
    </row>
    <row r="1896">
      <c r="A1896" s="76">
        <v>14.0</v>
      </c>
      <c r="B1896" s="74" t="s">
        <v>171</v>
      </c>
      <c r="C1896" s="74" t="s">
        <v>172</v>
      </c>
      <c r="D1896" s="74" t="s">
        <v>30</v>
      </c>
      <c r="E1896" s="74" t="s">
        <v>82</v>
      </c>
      <c r="F1896" s="77">
        <v>11.198422467680473</v>
      </c>
    </row>
    <row r="1897">
      <c r="A1897" s="76">
        <v>14.0</v>
      </c>
      <c r="B1897" s="74" t="s">
        <v>171</v>
      </c>
      <c r="C1897" s="74" t="s">
        <v>172</v>
      </c>
      <c r="D1897" s="74" t="s">
        <v>11</v>
      </c>
      <c r="E1897" s="74" t="s">
        <v>94</v>
      </c>
      <c r="F1897" s="80">
        <v>24.948422467680476</v>
      </c>
    </row>
    <row r="1898">
      <c r="A1898" s="76">
        <v>64.0</v>
      </c>
      <c r="B1898" s="74" t="s">
        <v>159</v>
      </c>
      <c r="C1898" s="74" t="s">
        <v>160</v>
      </c>
      <c r="D1898" s="74" t="s">
        <v>30</v>
      </c>
      <c r="E1898" s="74" t="s">
        <v>76</v>
      </c>
      <c r="F1898" s="77">
        <v>10.748422467680474</v>
      </c>
    </row>
    <row r="1899">
      <c r="A1899" s="76">
        <v>67.0</v>
      </c>
      <c r="B1899" s="74" t="s">
        <v>204</v>
      </c>
      <c r="C1899" s="74" t="s">
        <v>205</v>
      </c>
      <c r="D1899" s="74" t="s">
        <v>30</v>
      </c>
      <c r="E1899" s="74" t="s">
        <v>50</v>
      </c>
      <c r="F1899" s="80">
        <v>32.258422467680475</v>
      </c>
    </row>
    <row r="1900">
      <c r="A1900" s="76">
        <v>60.0</v>
      </c>
      <c r="B1900" s="74" t="s">
        <v>65</v>
      </c>
      <c r="C1900" s="74" t="s">
        <v>66</v>
      </c>
      <c r="D1900" s="74" t="s">
        <v>11</v>
      </c>
      <c r="E1900" s="74" t="s">
        <v>35</v>
      </c>
      <c r="F1900" s="77">
        <v>11.068422467680474</v>
      </c>
    </row>
    <row r="1901">
      <c r="A1901" s="76">
        <v>100.0</v>
      </c>
      <c r="B1901" s="74" t="s">
        <v>48</v>
      </c>
      <c r="C1901" s="74" t="s">
        <v>49</v>
      </c>
      <c r="D1901" s="74" t="s">
        <v>11</v>
      </c>
      <c r="E1901" s="74" t="s">
        <v>82</v>
      </c>
      <c r="F1901" s="80">
        <v>12.158422467680474</v>
      </c>
    </row>
    <row r="1902">
      <c r="A1902" s="76">
        <v>68.0</v>
      </c>
      <c r="B1902" s="74" t="s">
        <v>41</v>
      </c>
      <c r="C1902" s="74" t="s">
        <v>42</v>
      </c>
      <c r="D1902" s="74" t="s">
        <v>30</v>
      </c>
      <c r="E1902" s="74" t="s">
        <v>68</v>
      </c>
      <c r="F1902" s="77">
        <v>9.178422467680473</v>
      </c>
    </row>
    <row r="1903">
      <c r="A1903" s="76">
        <v>5.0</v>
      </c>
      <c r="B1903" s="74" t="s">
        <v>167</v>
      </c>
      <c r="C1903" s="74" t="s">
        <v>168</v>
      </c>
      <c r="D1903" s="74" t="s">
        <v>11</v>
      </c>
      <c r="E1903" s="74" t="s">
        <v>12</v>
      </c>
      <c r="F1903" s="80">
        <v>9.198422467680473</v>
      </c>
    </row>
    <row r="1904">
      <c r="A1904" s="76">
        <v>57.0</v>
      </c>
      <c r="B1904" s="74" t="s">
        <v>92</v>
      </c>
      <c r="C1904" s="74" t="s">
        <v>190</v>
      </c>
      <c r="D1904" s="74" t="s">
        <v>30</v>
      </c>
      <c r="E1904" s="74" t="s">
        <v>94</v>
      </c>
      <c r="F1904" s="77">
        <v>26.128422467680476</v>
      </c>
    </row>
    <row r="1905">
      <c r="A1905" s="76">
        <v>67.0</v>
      </c>
      <c r="B1905" s="74" t="s">
        <v>204</v>
      </c>
      <c r="C1905" s="74" t="s">
        <v>205</v>
      </c>
      <c r="D1905" s="74" t="s">
        <v>30</v>
      </c>
      <c r="E1905" s="74" t="s">
        <v>68</v>
      </c>
      <c r="F1905" s="80">
        <v>14.178422467680473</v>
      </c>
    </row>
    <row r="1906">
      <c r="A1906" s="76">
        <v>12.0</v>
      </c>
      <c r="B1906" s="74" t="s">
        <v>188</v>
      </c>
      <c r="C1906" s="74" t="s">
        <v>189</v>
      </c>
      <c r="D1906" s="74" t="s">
        <v>30</v>
      </c>
      <c r="E1906" s="74" t="s">
        <v>50</v>
      </c>
      <c r="F1906" s="77">
        <v>26.358422467680477</v>
      </c>
    </row>
    <row r="1907">
      <c r="A1907" s="76">
        <v>33.0</v>
      </c>
      <c r="B1907" s="74" t="s">
        <v>191</v>
      </c>
      <c r="C1907" s="74" t="s">
        <v>192</v>
      </c>
      <c r="D1907" s="74" t="s">
        <v>11</v>
      </c>
      <c r="E1907" s="74" t="s">
        <v>94</v>
      </c>
      <c r="F1907" s="80">
        <v>28.718422467680476</v>
      </c>
    </row>
    <row r="1908">
      <c r="A1908" s="76">
        <v>90.0</v>
      </c>
      <c r="B1908" s="74" t="s">
        <v>219</v>
      </c>
      <c r="C1908" s="74" t="s">
        <v>220</v>
      </c>
      <c r="D1908" s="74" t="s">
        <v>11</v>
      </c>
      <c r="E1908" s="74" t="s">
        <v>82</v>
      </c>
      <c r="F1908" s="77">
        <v>9.378422467680473</v>
      </c>
    </row>
    <row r="1909">
      <c r="A1909" s="76">
        <v>97.0</v>
      </c>
      <c r="B1909" s="74" t="s">
        <v>69</v>
      </c>
      <c r="C1909" s="74" t="s">
        <v>70</v>
      </c>
      <c r="D1909" s="74" t="s">
        <v>11</v>
      </c>
      <c r="E1909" s="74" t="s">
        <v>46</v>
      </c>
      <c r="F1909" s="80">
        <v>11.068422467680474</v>
      </c>
    </row>
    <row r="1910">
      <c r="A1910" s="76">
        <v>31.0</v>
      </c>
      <c r="B1910" s="74" t="s">
        <v>229</v>
      </c>
      <c r="C1910" s="74" t="s">
        <v>230</v>
      </c>
      <c r="D1910" s="74" t="s">
        <v>11</v>
      </c>
      <c r="E1910" s="74" t="s">
        <v>76</v>
      </c>
      <c r="F1910" s="77">
        <v>10.578422467680474</v>
      </c>
    </row>
    <row r="1911">
      <c r="A1911" s="76">
        <v>33.0</v>
      </c>
      <c r="B1911" s="74" t="s">
        <v>191</v>
      </c>
      <c r="C1911" s="74" t="s">
        <v>192</v>
      </c>
      <c r="D1911" s="74" t="s">
        <v>30</v>
      </c>
      <c r="E1911" s="74" t="s">
        <v>76</v>
      </c>
      <c r="F1911" s="80">
        <v>10.388422467680472</v>
      </c>
    </row>
    <row r="1912">
      <c r="A1912" s="76">
        <v>50.0</v>
      </c>
      <c r="B1912" s="74" t="s">
        <v>33</v>
      </c>
      <c r="C1912" s="74" t="s">
        <v>34</v>
      </c>
      <c r="D1912" s="74" t="s">
        <v>11</v>
      </c>
      <c r="E1912" s="74" t="s">
        <v>35</v>
      </c>
      <c r="F1912" s="77">
        <v>19.168422467680475</v>
      </c>
    </row>
    <row r="1913">
      <c r="A1913" s="76">
        <v>76.0</v>
      </c>
      <c r="B1913" s="74" t="s">
        <v>213</v>
      </c>
      <c r="C1913" s="74" t="s">
        <v>214</v>
      </c>
      <c r="D1913" s="74" t="s">
        <v>30</v>
      </c>
      <c r="E1913" s="74" t="s">
        <v>82</v>
      </c>
      <c r="F1913" s="80">
        <v>13.058422467680472</v>
      </c>
    </row>
    <row r="1914">
      <c r="A1914" s="76">
        <v>93.0</v>
      </c>
      <c r="B1914" s="74" t="s">
        <v>129</v>
      </c>
      <c r="C1914" s="74" t="s">
        <v>130</v>
      </c>
      <c r="D1914" s="74" t="s">
        <v>11</v>
      </c>
      <c r="E1914" s="74" t="s">
        <v>88</v>
      </c>
      <c r="F1914" s="77">
        <v>34.158422467680474</v>
      </c>
    </row>
    <row r="1915">
      <c r="A1915" s="76">
        <v>97.0</v>
      </c>
      <c r="B1915" s="74" t="s">
        <v>69</v>
      </c>
      <c r="C1915" s="74" t="s">
        <v>70</v>
      </c>
      <c r="D1915" s="74" t="s">
        <v>11</v>
      </c>
      <c r="E1915" s="74" t="s">
        <v>31</v>
      </c>
      <c r="F1915" s="80">
        <v>47.98842246768047</v>
      </c>
    </row>
    <row r="1916">
      <c r="A1916" s="76">
        <v>98.0</v>
      </c>
      <c r="B1916" s="74" t="s">
        <v>159</v>
      </c>
      <c r="C1916" s="74" t="s">
        <v>196</v>
      </c>
      <c r="D1916" s="74" t="s">
        <v>11</v>
      </c>
      <c r="E1916" s="74" t="s">
        <v>46</v>
      </c>
      <c r="F1916" s="77">
        <v>12.638422467680472</v>
      </c>
    </row>
    <row r="1917">
      <c r="A1917" s="76">
        <v>94.0</v>
      </c>
      <c r="B1917" s="74" t="s">
        <v>207</v>
      </c>
      <c r="C1917" s="74" t="s">
        <v>237</v>
      </c>
      <c r="D1917" s="74" t="s">
        <v>30</v>
      </c>
      <c r="E1917" s="74" t="s">
        <v>50</v>
      </c>
      <c r="F1917" s="80">
        <v>26.098422467680475</v>
      </c>
    </row>
    <row r="1918">
      <c r="A1918" s="76">
        <v>93.0</v>
      </c>
      <c r="B1918" s="74" t="s">
        <v>129</v>
      </c>
      <c r="C1918" s="74" t="s">
        <v>130</v>
      </c>
      <c r="D1918" s="74" t="s">
        <v>30</v>
      </c>
      <c r="E1918" s="74" t="s">
        <v>85</v>
      </c>
      <c r="F1918" s="77">
        <v>11.608422467680473</v>
      </c>
    </row>
    <row r="1919">
      <c r="A1919" s="76">
        <v>87.0</v>
      </c>
      <c r="B1919" s="74" t="s">
        <v>243</v>
      </c>
      <c r="C1919" s="74" t="s">
        <v>244</v>
      </c>
      <c r="D1919" s="74" t="s">
        <v>30</v>
      </c>
      <c r="E1919" s="74" t="s">
        <v>68</v>
      </c>
      <c r="F1919" s="80">
        <v>8.398422467680474</v>
      </c>
    </row>
    <row r="1920">
      <c r="A1920" s="76">
        <v>17.0</v>
      </c>
      <c r="B1920" s="74" t="s">
        <v>200</v>
      </c>
      <c r="C1920" s="74" t="s">
        <v>201</v>
      </c>
      <c r="D1920" s="74" t="s">
        <v>11</v>
      </c>
      <c r="E1920" s="74" t="s">
        <v>82</v>
      </c>
      <c r="F1920" s="77">
        <v>12.998422467680474</v>
      </c>
    </row>
    <row r="1921">
      <c r="A1921" s="76">
        <v>98.0</v>
      </c>
      <c r="B1921" s="74" t="s">
        <v>159</v>
      </c>
      <c r="C1921" s="74" t="s">
        <v>196</v>
      </c>
      <c r="D1921" s="74" t="s">
        <v>11</v>
      </c>
      <c r="E1921" s="74" t="s">
        <v>43</v>
      </c>
      <c r="F1921" s="80">
        <v>17.218422467680476</v>
      </c>
    </row>
    <row r="1922">
      <c r="A1922" s="76">
        <v>68.0</v>
      </c>
      <c r="B1922" s="74" t="s">
        <v>41</v>
      </c>
      <c r="C1922" s="74" t="s">
        <v>42</v>
      </c>
      <c r="D1922" s="74" t="s">
        <v>30</v>
      </c>
      <c r="E1922" s="74" t="s">
        <v>79</v>
      </c>
      <c r="F1922" s="77">
        <v>30.608422467680477</v>
      </c>
    </row>
    <row r="1923">
      <c r="A1923" s="76">
        <v>52.0</v>
      </c>
      <c r="B1923" s="74" t="s">
        <v>181</v>
      </c>
      <c r="C1923" s="74" t="s">
        <v>182</v>
      </c>
      <c r="D1923" s="74" t="s">
        <v>30</v>
      </c>
      <c r="E1923" s="74" t="s">
        <v>50</v>
      </c>
      <c r="F1923" s="80">
        <v>21.118422467680475</v>
      </c>
    </row>
    <row r="1924">
      <c r="A1924" s="76">
        <v>72.0</v>
      </c>
      <c r="B1924" s="74" t="s">
        <v>133</v>
      </c>
      <c r="C1924" s="74" t="s">
        <v>134</v>
      </c>
      <c r="D1924" s="74" t="s">
        <v>30</v>
      </c>
      <c r="E1924" s="74" t="s">
        <v>72</v>
      </c>
      <c r="F1924" s="77">
        <v>23.668422467680475</v>
      </c>
    </row>
    <row r="1925">
      <c r="A1925" s="76">
        <v>75.0</v>
      </c>
      <c r="B1925" s="74" t="s">
        <v>238</v>
      </c>
      <c r="C1925" s="74" t="s">
        <v>239</v>
      </c>
      <c r="D1925" s="74" t="s">
        <v>11</v>
      </c>
      <c r="E1925" s="74" t="s">
        <v>43</v>
      </c>
      <c r="F1925" s="80">
        <v>15.188422467680473</v>
      </c>
    </row>
    <row r="1926">
      <c r="A1926" s="76">
        <v>24.0</v>
      </c>
      <c r="B1926" s="74" t="s">
        <v>139</v>
      </c>
      <c r="C1926" s="74" t="s">
        <v>140</v>
      </c>
      <c r="D1926" s="74" t="s">
        <v>30</v>
      </c>
      <c r="E1926" s="74" t="s">
        <v>39</v>
      </c>
      <c r="F1926" s="77">
        <v>25.438422467680475</v>
      </c>
    </row>
    <row r="1927">
      <c r="A1927" s="76">
        <v>10.0</v>
      </c>
      <c r="B1927" s="74" t="s">
        <v>148</v>
      </c>
      <c r="C1927" s="74" t="s">
        <v>149</v>
      </c>
      <c r="D1927" s="74" t="s">
        <v>30</v>
      </c>
      <c r="E1927" s="74" t="s">
        <v>88</v>
      </c>
      <c r="F1927" s="80">
        <v>31.638422467680478</v>
      </c>
    </row>
    <row r="1928">
      <c r="A1928" s="76">
        <v>51.0</v>
      </c>
      <c r="B1928" s="74" t="s">
        <v>233</v>
      </c>
      <c r="C1928" s="74" t="s">
        <v>234</v>
      </c>
      <c r="D1928" s="74" t="s">
        <v>11</v>
      </c>
      <c r="E1928" s="74" t="s">
        <v>76</v>
      </c>
      <c r="F1928" s="77">
        <v>10.308422467680472</v>
      </c>
    </row>
    <row r="1929">
      <c r="A1929" s="76">
        <v>6.0</v>
      </c>
      <c r="B1929" s="74" t="s">
        <v>183</v>
      </c>
      <c r="C1929" s="74" t="s">
        <v>184</v>
      </c>
      <c r="D1929" s="74" t="s">
        <v>30</v>
      </c>
      <c r="E1929" s="74" t="s">
        <v>56</v>
      </c>
      <c r="F1929" s="80">
        <v>75.00842246768046</v>
      </c>
    </row>
    <row r="1930">
      <c r="A1930" s="76">
        <v>75.0</v>
      </c>
      <c r="B1930" s="74" t="s">
        <v>238</v>
      </c>
      <c r="C1930" s="74" t="s">
        <v>239</v>
      </c>
      <c r="D1930" s="74" t="s">
        <v>30</v>
      </c>
      <c r="E1930" s="74" t="s">
        <v>85</v>
      </c>
      <c r="F1930" s="77">
        <v>14.658422467680474</v>
      </c>
    </row>
    <row r="1931">
      <c r="A1931" s="76">
        <v>19.0</v>
      </c>
      <c r="B1931" s="74" t="s">
        <v>41</v>
      </c>
      <c r="C1931" s="74" t="s">
        <v>193</v>
      </c>
      <c r="D1931" s="74" t="s">
        <v>30</v>
      </c>
      <c r="E1931" s="74" t="s">
        <v>12</v>
      </c>
      <c r="F1931" s="80">
        <v>9.568422467680474</v>
      </c>
    </row>
    <row r="1932">
      <c r="A1932" s="76">
        <v>86.0</v>
      </c>
      <c r="B1932" s="74" t="s">
        <v>62</v>
      </c>
      <c r="C1932" s="74" t="s">
        <v>63</v>
      </c>
      <c r="D1932" s="74" t="s">
        <v>11</v>
      </c>
      <c r="E1932" s="74" t="s">
        <v>60</v>
      </c>
      <c r="F1932" s="77">
        <v>43.978422467680474</v>
      </c>
    </row>
    <row r="1933">
      <c r="A1933" s="76">
        <v>9.0</v>
      </c>
      <c r="B1933" s="74" t="s">
        <v>207</v>
      </c>
      <c r="C1933" s="74" t="s">
        <v>208</v>
      </c>
      <c r="D1933" s="74" t="s">
        <v>11</v>
      </c>
      <c r="E1933" s="74" t="s">
        <v>72</v>
      </c>
      <c r="F1933" s="80">
        <v>21.758422467680475</v>
      </c>
    </row>
    <row r="1934">
      <c r="A1934" s="76">
        <v>97.0</v>
      </c>
      <c r="B1934" s="74" t="s">
        <v>69</v>
      </c>
      <c r="C1934" s="74" t="s">
        <v>70</v>
      </c>
      <c r="D1934" s="74" t="s">
        <v>30</v>
      </c>
      <c r="E1934" s="74" t="s">
        <v>50</v>
      </c>
      <c r="F1934" s="77">
        <v>26.948422467680476</v>
      </c>
    </row>
    <row r="1935">
      <c r="A1935" s="76">
        <v>9.0</v>
      </c>
      <c r="B1935" s="74" t="s">
        <v>207</v>
      </c>
      <c r="C1935" s="74" t="s">
        <v>208</v>
      </c>
      <c r="D1935" s="74" t="s">
        <v>30</v>
      </c>
      <c r="E1935" s="74" t="s">
        <v>50</v>
      </c>
      <c r="F1935" s="80">
        <v>25.338422467680473</v>
      </c>
    </row>
    <row r="1936">
      <c r="A1936" s="76">
        <v>82.0</v>
      </c>
      <c r="B1936" s="74" t="s">
        <v>231</v>
      </c>
      <c r="C1936" s="74" t="s">
        <v>232</v>
      </c>
      <c r="D1936" s="74" t="s">
        <v>11</v>
      </c>
      <c r="E1936" s="74" t="s">
        <v>12</v>
      </c>
      <c r="F1936" s="77">
        <v>9.178422467680473</v>
      </c>
    </row>
    <row r="1937">
      <c r="A1937" s="76">
        <v>89.0</v>
      </c>
      <c r="B1937" s="74" t="s">
        <v>135</v>
      </c>
      <c r="C1937" s="74" t="s">
        <v>136</v>
      </c>
      <c r="D1937" s="74" t="s">
        <v>30</v>
      </c>
      <c r="E1937" s="74" t="s">
        <v>39</v>
      </c>
      <c r="F1937" s="80">
        <v>29.358422467680477</v>
      </c>
    </row>
    <row r="1938">
      <c r="A1938" s="76">
        <v>3.0</v>
      </c>
      <c r="B1938" s="74" t="s">
        <v>80</v>
      </c>
      <c r="C1938" s="74" t="s">
        <v>81</v>
      </c>
      <c r="D1938" s="74" t="s">
        <v>11</v>
      </c>
      <c r="E1938" s="74" t="s">
        <v>82</v>
      </c>
      <c r="F1938" s="77">
        <v>9.468422467680472</v>
      </c>
    </row>
    <row r="1939">
      <c r="A1939" s="76">
        <v>12.0</v>
      </c>
      <c r="B1939" s="74" t="s">
        <v>188</v>
      </c>
      <c r="C1939" s="74" t="s">
        <v>189</v>
      </c>
      <c r="D1939" s="74" t="s">
        <v>30</v>
      </c>
      <c r="E1939" s="74" t="s">
        <v>68</v>
      </c>
      <c r="F1939" s="80">
        <v>5.718422467680474</v>
      </c>
    </row>
    <row r="1940">
      <c r="A1940" s="76">
        <v>23.0</v>
      </c>
      <c r="B1940" s="74" t="s">
        <v>235</v>
      </c>
      <c r="C1940" s="74" t="s">
        <v>236</v>
      </c>
      <c r="D1940" s="74" t="s">
        <v>11</v>
      </c>
      <c r="E1940" s="74" t="s">
        <v>50</v>
      </c>
      <c r="F1940" s="77">
        <v>22.408422467680474</v>
      </c>
    </row>
    <row r="1941">
      <c r="A1941" s="76">
        <v>41.0</v>
      </c>
      <c r="B1941" s="74" t="s">
        <v>217</v>
      </c>
      <c r="C1941" s="74" t="s">
        <v>218</v>
      </c>
      <c r="D1941" s="74" t="s">
        <v>30</v>
      </c>
      <c r="E1941" s="74" t="s">
        <v>85</v>
      </c>
      <c r="F1941" s="80">
        <v>12.558422467680472</v>
      </c>
    </row>
    <row r="1942">
      <c r="A1942" s="76">
        <v>19.0</v>
      </c>
      <c r="B1942" s="74" t="s">
        <v>41</v>
      </c>
      <c r="C1942" s="74" t="s">
        <v>193</v>
      </c>
      <c r="D1942" s="74" t="s">
        <v>30</v>
      </c>
      <c r="E1942" s="74" t="s">
        <v>97</v>
      </c>
      <c r="F1942" s="77">
        <v>1.868422467680474</v>
      </c>
    </row>
    <row r="1943">
      <c r="A1943" s="76">
        <v>39.0</v>
      </c>
      <c r="B1943" s="74" t="s">
        <v>89</v>
      </c>
      <c r="C1943" s="74" t="s">
        <v>90</v>
      </c>
      <c r="D1943" s="74" t="s">
        <v>11</v>
      </c>
      <c r="E1943" s="74" t="s">
        <v>43</v>
      </c>
      <c r="F1943" s="80">
        <v>18.738422467680476</v>
      </c>
    </row>
    <row r="1944">
      <c r="A1944" s="76">
        <v>31.0</v>
      </c>
      <c r="B1944" s="74" t="s">
        <v>229</v>
      </c>
      <c r="C1944" s="74" t="s">
        <v>230</v>
      </c>
      <c r="D1944" s="74" t="s">
        <v>30</v>
      </c>
      <c r="E1944" s="74" t="s">
        <v>91</v>
      </c>
      <c r="F1944" s="77">
        <v>3.238422467680474</v>
      </c>
    </row>
    <row r="1945">
      <c r="A1945" s="76">
        <v>40.0</v>
      </c>
      <c r="B1945" s="74" t="s">
        <v>122</v>
      </c>
      <c r="C1945" s="74" t="s">
        <v>185</v>
      </c>
      <c r="D1945" s="74" t="s">
        <v>30</v>
      </c>
      <c r="E1945" s="74" t="s">
        <v>97</v>
      </c>
      <c r="F1945" s="80">
        <v>4.208422467680474</v>
      </c>
    </row>
    <row r="1946">
      <c r="A1946" s="76">
        <v>41.0</v>
      </c>
      <c r="B1946" s="74" t="s">
        <v>217</v>
      </c>
      <c r="C1946" s="74" t="s">
        <v>218</v>
      </c>
      <c r="D1946" s="74" t="s">
        <v>30</v>
      </c>
      <c r="E1946" s="74" t="s">
        <v>94</v>
      </c>
      <c r="F1946" s="77">
        <v>29.838422467680473</v>
      </c>
    </row>
    <row r="1947">
      <c r="A1947" s="76">
        <v>29.0</v>
      </c>
      <c r="B1947" s="74" t="s">
        <v>122</v>
      </c>
      <c r="C1947" s="74" t="s">
        <v>123</v>
      </c>
      <c r="D1947" s="74" t="s">
        <v>11</v>
      </c>
      <c r="E1947" s="74" t="s">
        <v>12</v>
      </c>
      <c r="F1947" s="80">
        <v>9.488422467680474</v>
      </c>
    </row>
    <row r="1948">
      <c r="A1948" s="76">
        <v>22.0</v>
      </c>
      <c r="B1948" s="74" t="s">
        <v>131</v>
      </c>
      <c r="C1948" s="74" t="s">
        <v>132</v>
      </c>
      <c r="D1948" s="74" t="s">
        <v>11</v>
      </c>
      <c r="E1948" s="74" t="s">
        <v>35</v>
      </c>
      <c r="F1948" s="77">
        <v>11.688422467680473</v>
      </c>
    </row>
    <row r="1949">
      <c r="A1949" s="76">
        <v>11.0</v>
      </c>
      <c r="B1949" s="74" t="s">
        <v>227</v>
      </c>
      <c r="C1949" s="74" t="s">
        <v>228</v>
      </c>
      <c r="D1949" s="74" t="s">
        <v>11</v>
      </c>
      <c r="E1949" s="74" t="s">
        <v>60</v>
      </c>
      <c r="F1949" s="80">
        <v>42.24842246768048</v>
      </c>
    </row>
    <row r="1950">
      <c r="A1950" s="76">
        <v>67.0</v>
      </c>
      <c r="B1950" s="74" t="s">
        <v>204</v>
      </c>
      <c r="C1950" s="74" t="s">
        <v>205</v>
      </c>
      <c r="D1950" s="74" t="s">
        <v>11</v>
      </c>
      <c r="E1950" s="74" t="s">
        <v>85</v>
      </c>
      <c r="F1950" s="77">
        <v>11.138422467680472</v>
      </c>
    </row>
    <row r="1951">
      <c r="A1951" s="76">
        <v>9.0</v>
      </c>
      <c r="B1951" s="74" t="s">
        <v>207</v>
      </c>
      <c r="C1951" s="74" t="s">
        <v>208</v>
      </c>
      <c r="D1951" s="74" t="s">
        <v>30</v>
      </c>
      <c r="E1951" s="74" t="s">
        <v>82</v>
      </c>
      <c r="F1951" s="80">
        <v>12.008422467680473</v>
      </c>
    </row>
    <row r="1952">
      <c r="A1952" s="76">
        <v>77.0</v>
      </c>
      <c r="B1952" s="74" t="s">
        <v>9</v>
      </c>
      <c r="C1952" s="74" t="s">
        <v>169</v>
      </c>
      <c r="D1952" s="74" t="s">
        <v>30</v>
      </c>
      <c r="E1952" s="74" t="s">
        <v>82</v>
      </c>
      <c r="F1952" s="77">
        <v>9.688422467680473</v>
      </c>
    </row>
    <row r="1953">
      <c r="A1953" s="76">
        <v>40.0</v>
      </c>
      <c r="B1953" s="74" t="s">
        <v>122</v>
      </c>
      <c r="C1953" s="74" t="s">
        <v>185</v>
      </c>
      <c r="D1953" s="74" t="s">
        <v>30</v>
      </c>
      <c r="E1953" s="74" t="s">
        <v>85</v>
      </c>
      <c r="F1953" s="80">
        <v>12.818422467680474</v>
      </c>
    </row>
    <row r="1954">
      <c r="A1954" s="76">
        <v>22.0</v>
      </c>
      <c r="B1954" s="74" t="s">
        <v>131</v>
      </c>
      <c r="C1954" s="74" t="s">
        <v>132</v>
      </c>
      <c r="D1954" s="74" t="s">
        <v>30</v>
      </c>
      <c r="E1954" s="74" t="s">
        <v>60</v>
      </c>
      <c r="F1954" s="77">
        <v>47.728422467680474</v>
      </c>
    </row>
    <row r="1955">
      <c r="A1955" s="76">
        <v>43.0</v>
      </c>
      <c r="B1955" s="74" t="s">
        <v>95</v>
      </c>
      <c r="C1955" s="74" t="s">
        <v>96</v>
      </c>
      <c r="D1955" s="74" t="s">
        <v>30</v>
      </c>
      <c r="E1955" s="74" t="s">
        <v>85</v>
      </c>
      <c r="F1955" s="80">
        <v>15.548422467680473</v>
      </c>
    </row>
    <row r="1956">
      <c r="A1956" s="76">
        <v>56.0</v>
      </c>
      <c r="B1956" s="74" t="s">
        <v>127</v>
      </c>
      <c r="C1956" s="74" t="s">
        <v>128</v>
      </c>
      <c r="D1956" s="74" t="s">
        <v>30</v>
      </c>
      <c r="E1956" s="74" t="s">
        <v>79</v>
      </c>
      <c r="F1956" s="77">
        <v>29.018422467680473</v>
      </c>
    </row>
    <row r="1957">
      <c r="A1957" s="76">
        <v>14.0</v>
      </c>
      <c r="B1957" s="74" t="s">
        <v>171</v>
      </c>
      <c r="C1957" s="74" t="s">
        <v>172</v>
      </c>
      <c r="D1957" s="74" t="s">
        <v>30</v>
      </c>
      <c r="E1957" s="74" t="s">
        <v>46</v>
      </c>
      <c r="F1957" s="80">
        <v>13.138422467680472</v>
      </c>
    </row>
    <row r="1958">
      <c r="A1958" s="76">
        <v>97.0</v>
      </c>
      <c r="B1958" s="74" t="s">
        <v>69</v>
      </c>
      <c r="C1958" s="74" t="s">
        <v>70</v>
      </c>
      <c r="D1958" s="74" t="s">
        <v>11</v>
      </c>
      <c r="E1958" s="74" t="s">
        <v>31</v>
      </c>
      <c r="F1958" s="77">
        <v>53.118422467680475</v>
      </c>
    </row>
    <row r="1959">
      <c r="A1959" s="76">
        <v>57.0</v>
      </c>
      <c r="B1959" s="74" t="s">
        <v>92</v>
      </c>
      <c r="C1959" s="74" t="s">
        <v>190</v>
      </c>
      <c r="D1959" s="74" t="s">
        <v>11</v>
      </c>
      <c r="E1959" s="74" t="s">
        <v>31</v>
      </c>
      <c r="F1959" s="80">
        <v>36.288422467680476</v>
      </c>
    </row>
    <row r="1960">
      <c r="A1960" s="76">
        <v>10.0</v>
      </c>
      <c r="B1960" s="74" t="s">
        <v>148</v>
      </c>
      <c r="C1960" s="74" t="s">
        <v>149</v>
      </c>
      <c r="D1960" s="74" t="s">
        <v>11</v>
      </c>
      <c r="E1960" s="74" t="s">
        <v>82</v>
      </c>
      <c r="F1960" s="77">
        <v>13.518422467680473</v>
      </c>
    </row>
    <row r="1961">
      <c r="A1961" s="76">
        <v>78.0</v>
      </c>
      <c r="B1961" s="74" t="s">
        <v>28</v>
      </c>
      <c r="C1961" s="74" t="s">
        <v>29</v>
      </c>
      <c r="D1961" s="74" t="s">
        <v>11</v>
      </c>
      <c r="E1961" s="74" t="s">
        <v>46</v>
      </c>
      <c r="F1961" s="80">
        <v>11.218422467680472</v>
      </c>
    </row>
    <row r="1962">
      <c r="A1962" s="76">
        <v>1.0</v>
      </c>
      <c r="B1962" s="74" t="s">
        <v>194</v>
      </c>
      <c r="C1962" s="74" t="s">
        <v>195</v>
      </c>
      <c r="D1962" s="74" t="s">
        <v>30</v>
      </c>
      <c r="E1962" s="74" t="s">
        <v>50</v>
      </c>
      <c r="F1962" s="77">
        <v>23.448422467680476</v>
      </c>
    </row>
    <row r="1963">
      <c r="A1963" s="76">
        <v>22.0</v>
      </c>
      <c r="B1963" s="74" t="s">
        <v>131</v>
      </c>
      <c r="C1963" s="74" t="s">
        <v>132</v>
      </c>
      <c r="D1963" s="74" t="s">
        <v>11</v>
      </c>
      <c r="E1963" s="74" t="s">
        <v>56</v>
      </c>
      <c r="F1963" s="80">
        <v>68.62842246768047</v>
      </c>
    </row>
    <row r="1964">
      <c r="A1964" s="76">
        <v>21.0</v>
      </c>
      <c r="B1964" s="74" t="s">
        <v>186</v>
      </c>
      <c r="C1964" s="74" t="s">
        <v>187</v>
      </c>
      <c r="D1964" s="74" t="s">
        <v>30</v>
      </c>
      <c r="E1964" s="74" t="s">
        <v>72</v>
      </c>
      <c r="F1964" s="77">
        <v>16.448422467680476</v>
      </c>
    </row>
    <row r="1965">
      <c r="A1965" s="76">
        <v>91.0</v>
      </c>
      <c r="B1965" s="74" t="s">
        <v>112</v>
      </c>
      <c r="C1965" s="74" t="s">
        <v>113</v>
      </c>
      <c r="D1965" s="74" t="s">
        <v>11</v>
      </c>
      <c r="E1965" s="74" t="s">
        <v>43</v>
      </c>
      <c r="F1965" s="80">
        <v>12.788422467680473</v>
      </c>
    </row>
    <row r="1966">
      <c r="A1966" s="76">
        <v>33.0</v>
      </c>
      <c r="B1966" s="74" t="s">
        <v>191</v>
      </c>
      <c r="C1966" s="74" t="s">
        <v>192</v>
      </c>
      <c r="D1966" s="74" t="s">
        <v>11</v>
      </c>
      <c r="E1966" s="74" t="s">
        <v>94</v>
      </c>
      <c r="F1966" s="77">
        <v>27.608422467680477</v>
      </c>
    </row>
    <row r="1967">
      <c r="A1967" s="76">
        <v>11.0</v>
      </c>
      <c r="B1967" s="74" t="s">
        <v>227</v>
      </c>
      <c r="C1967" s="74" t="s">
        <v>228</v>
      </c>
      <c r="D1967" s="74" t="s">
        <v>11</v>
      </c>
      <c r="E1967" s="74" t="s">
        <v>35</v>
      </c>
      <c r="F1967" s="80">
        <v>13.678422467680473</v>
      </c>
    </row>
    <row r="1968">
      <c r="A1968" s="76">
        <v>100.0</v>
      </c>
      <c r="B1968" s="74" t="s">
        <v>48</v>
      </c>
      <c r="C1968" s="74" t="s">
        <v>49</v>
      </c>
      <c r="D1968" s="74" t="s">
        <v>30</v>
      </c>
      <c r="E1968" s="74" t="s">
        <v>72</v>
      </c>
      <c r="F1968" s="77">
        <v>17.268422467680473</v>
      </c>
    </row>
    <row r="1969">
      <c r="A1969" s="76">
        <v>93.0</v>
      </c>
      <c r="B1969" s="74" t="s">
        <v>129</v>
      </c>
      <c r="C1969" s="74" t="s">
        <v>130</v>
      </c>
      <c r="D1969" s="74" t="s">
        <v>30</v>
      </c>
      <c r="E1969" s="74" t="s">
        <v>52</v>
      </c>
      <c r="F1969" s="80">
        <v>55.85842246768048</v>
      </c>
    </row>
    <row r="1970">
      <c r="A1970" s="76">
        <v>34.0</v>
      </c>
      <c r="B1970" s="74" t="s">
        <v>177</v>
      </c>
      <c r="C1970" s="74" t="s">
        <v>178</v>
      </c>
      <c r="D1970" s="74" t="s">
        <v>11</v>
      </c>
      <c r="E1970" s="74" t="s">
        <v>43</v>
      </c>
      <c r="F1970" s="77">
        <v>17.308422467680476</v>
      </c>
    </row>
    <row r="1971">
      <c r="A1971" s="76">
        <v>76.0</v>
      </c>
      <c r="B1971" s="74" t="s">
        <v>213</v>
      </c>
      <c r="C1971" s="74" t="s">
        <v>214</v>
      </c>
      <c r="D1971" s="74" t="s">
        <v>30</v>
      </c>
      <c r="E1971" s="74" t="s">
        <v>72</v>
      </c>
      <c r="F1971" s="80">
        <v>14.098422467680473</v>
      </c>
    </row>
    <row r="1972">
      <c r="A1972" s="76">
        <v>69.0</v>
      </c>
      <c r="B1972" s="74" t="s">
        <v>108</v>
      </c>
      <c r="C1972" s="74" t="s">
        <v>145</v>
      </c>
      <c r="D1972" s="74" t="s">
        <v>11</v>
      </c>
      <c r="E1972" s="74" t="s">
        <v>88</v>
      </c>
      <c r="F1972" s="77">
        <v>36.158422467680474</v>
      </c>
    </row>
    <row r="1973">
      <c r="A1973" s="76">
        <v>83.0</v>
      </c>
      <c r="B1973" s="74" t="s">
        <v>98</v>
      </c>
      <c r="C1973" s="74" t="s">
        <v>99</v>
      </c>
      <c r="D1973" s="74" t="s">
        <v>30</v>
      </c>
      <c r="E1973" s="74" t="s">
        <v>56</v>
      </c>
      <c r="F1973" s="80">
        <v>59.468422467680476</v>
      </c>
    </row>
    <row r="1974">
      <c r="A1974" s="76">
        <v>6.0</v>
      </c>
      <c r="B1974" s="74" t="s">
        <v>183</v>
      </c>
      <c r="C1974" s="74" t="s">
        <v>184</v>
      </c>
      <c r="D1974" s="74" t="s">
        <v>30</v>
      </c>
      <c r="E1974" s="74" t="s">
        <v>39</v>
      </c>
      <c r="F1974" s="77">
        <v>38.24842246768048</v>
      </c>
    </row>
    <row r="1975">
      <c r="A1975" s="76">
        <v>37.0</v>
      </c>
      <c r="B1975" s="74" t="s">
        <v>245</v>
      </c>
      <c r="C1975" s="74" t="s">
        <v>246</v>
      </c>
      <c r="D1975" s="74" t="s">
        <v>30</v>
      </c>
      <c r="E1975" s="74" t="s">
        <v>31</v>
      </c>
      <c r="F1975" s="80">
        <v>42.758422467680475</v>
      </c>
    </row>
    <row r="1976">
      <c r="A1976" s="76">
        <v>38.0</v>
      </c>
      <c r="B1976" s="74" t="s">
        <v>116</v>
      </c>
      <c r="C1976" s="74" t="s">
        <v>117</v>
      </c>
      <c r="D1976" s="74" t="s">
        <v>11</v>
      </c>
      <c r="E1976" s="74" t="s">
        <v>76</v>
      </c>
      <c r="F1976" s="77">
        <v>10.308422467680472</v>
      </c>
    </row>
    <row r="1977">
      <c r="A1977" s="76">
        <v>47.0</v>
      </c>
      <c r="B1977" s="74" t="s">
        <v>120</v>
      </c>
      <c r="C1977" s="74" t="s">
        <v>121</v>
      </c>
      <c r="D1977" s="74" t="s">
        <v>11</v>
      </c>
      <c r="E1977" s="74" t="s">
        <v>31</v>
      </c>
      <c r="F1977" s="80">
        <v>37.91842246768047</v>
      </c>
    </row>
    <row r="1978">
      <c r="A1978" s="76">
        <v>58.0</v>
      </c>
      <c r="B1978" s="74" t="s">
        <v>165</v>
      </c>
      <c r="C1978" s="74" t="s">
        <v>166</v>
      </c>
      <c r="D1978" s="74" t="s">
        <v>11</v>
      </c>
      <c r="E1978" s="74" t="s">
        <v>79</v>
      </c>
      <c r="F1978" s="77">
        <v>28.398422467680476</v>
      </c>
    </row>
    <row r="1979">
      <c r="A1979" s="76">
        <v>85.0</v>
      </c>
      <c r="B1979" s="74" t="s">
        <v>198</v>
      </c>
      <c r="C1979" s="74" t="s">
        <v>199</v>
      </c>
      <c r="D1979" s="74" t="s">
        <v>30</v>
      </c>
      <c r="E1979" s="74" t="s">
        <v>76</v>
      </c>
      <c r="F1979" s="80">
        <v>10.838422467680473</v>
      </c>
    </row>
    <row r="1980">
      <c r="A1980" s="76">
        <v>94.0</v>
      </c>
      <c r="B1980" s="74" t="s">
        <v>207</v>
      </c>
      <c r="C1980" s="74" t="s">
        <v>237</v>
      </c>
      <c r="D1980" s="74" t="s">
        <v>30</v>
      </c>
      <c r="E1980" s="74" t="s">
        <v>31</v>
      </c>
      <c r="F1980" s="77">
        <v>36.09842246768047</v>
      </c>
    </row>
    <row r="1981">
      <c r="A1981" s="76">
        <v>44.0</v>
      </c>
      <c r="B1981" s="74" t="s">
        <v>215</v>
      </c>
      <c r="C1981" s="74" t="s">
        <v>216</v>
      </c>
      <c r="D1981" s="74" t="s">
        <v>11</v>
      </c>
      <c r="E1981" s="74" t="s">
        <v>39</v>
      </c>
      <c r="F1981" s="80">
        <v>33.85842246768048</v>
      </c>
    </row>
    <row r="1982">
      <c r="A1982" s="76">
        <v>100.0</v>
      </c>
      <c r="B1982" s="74" t="s">
        <v>48</v>
      </c>
      <c r="C1982" s="74" t="s">
        <v>49</v>
      </c>
      <c r="D1982" s="74" t="s">
        <v>30</v>
      </c>
      <c r="E1982" s="74" t="s">
        <v>94</v>
      </c>
      <c r="F1982" s="77">
        <v>28.968422467680476</v>
      </c>
    </row>
    <row r="1983">
      <c r="A1983" s="76">
        <v>60.0</v>
      </c>
      <c r="B1983" s="74" t="s">
        <v>65</v>
      </c>
      <c r="C1983" s="74" t="s">
        <v>66</v>
      </c>
      <c r="D1983" s="74" t="s">
        <v>30</v>
      </c>
      <c r="E1983" s="74" t="s">
        <v>46</v>
      </c>
      <c r="F1983" s="80">
        <v>11.528422467680473</v>
      </c>
    </row>
    <row r="1984">
      <c r="A1984" s="76">
        <v>26.0</v>
      </c>
      <c r="B1984" s="74" t="s">
        <v>211</v>
      </c>
      <c r="C1984" s="74" t="s">
        <v>212</v>
      </c>
      <c r="D1984" s="74" t="s">
        <v>30</v>
      </c>
      <c r="E1984" s="74" t="s">
        <v>56</v>
      </c>
      <c r="F1984" s="77">
        <v>62.02842246768048</v>
      </c>
    </row>
    <row r="1985">
      <c r="A1985" s="76">
        <v>50.0</v>
      </c>
      <c r="B1985" s="74" t="s">
        <v>33</v>
      </c>
      <c r="C1985" s="74" t="s">
        <v>34</v>
      </c>
      <c r="D1985" s="74" t="s">
        <v>30</v>
      </c>
      <c r="E1985" s="74" t="s">
        <v>56</v>
      </c>
      <c r="F1985" s="80">
        <v>63.59842246768047</v>
      </c>
    </row>
    <row r="1986">
      <c r="A1986" s="76">
        <v>7.0</v>
      </c>
      <c r="B1986" s="74" t="s">
        <v>114</v>
      </c>
      <c r="C1986" s="74" t="s">
        <v>115</v>
      </c>
      <c r="D1986" s="74" t="s">
        <v>11</v>
      </c>
      <c r="E1986" s="74" t="s">
        <v>76</v>
      </c>
      <c r="F1986" s="77">
        <v>11.088422467680473</v>
      </c>
    </row>
    <row r="1987">
      <c r="A1987" s="76">
        <v>89.0</v>
      </c>
      <c r="B1987" s="74" t="s">
        <v>135</v>
      </c>
      <c r="C1987" s="74" t="s">
        <v>136</v>
      </c>
      <c r="D1987" s="74" t="s">
        <v>30</v>
      </c>
      <c r="E1987" s="74" t="s">
        <v>72</v>
      </c>
      <c r="F1987" s="80">
        <v>21.838422467680473</v>
      </c>
    </row>
    <row r="1988">
      <c r="A1988" s="76">
        <v>43.0</v>
      </c>
      <c r="B1988" s="74" t="s">
        <v>95</v>
      </c>
      <c r="C1988" s="74" t="s">
        <v>96</v>
      </c>
      <c r="D1988" s="74" t="s">
        <v>11</v>
      </c>
      <c r="E1988" s="74" t="s">
        <v>94</v>
      </c>
      <c r="F1988" s="77">
        <v>24.478422467680474</v>
      </c>
    </row>
    <row r="1989">
      <c r="A1989" s="76">
        <v>89.0</v>
      </c>
      <c r="B1989" s="74" t="s">
        <v>135</v>
      </c>
      <c r="C1989" s="74" t="s">
        <v>136</v>
      </c>
      <c r="D1989" s="74" t="s">
        <v>11</v>
      </c>
      <c r="E1989" s="74" t="s">
        <v>82</v>
      </c>
      <c r="F1989" s="80">
        <v>11.758422467680473</v>
      </c>
    </row>
    <row r="1990">
      <c r="A1990" s="76">
        <v>17.0</v>
      </c>
      <c r="B1990" s="74" t="s">
        <v>200</v>
      </c>
      <c r="C1990" s="74" t="s">
        <v>201</v>
      </c>
      <c r="D1990" s="74" t="s">
        <v>30</v>
      </c>
      <c r="E1990" s="74" t="s">
        <v>88</v>
      </c>
      <c r="F1990" s="77">
        <v>35.688422467680475</v>
      </c>
    </row>
    <row r="1991">
      <c r="A1991" s="76">
        <v>11.0</v>
      </c>
      <c r="B1991" s="74" t="s">
        <v>227</v>
      </c>
      <c r="C1991" s="74" t="s">
        <v>228</v>
      </c>
      <c r="D1991" s="74" t="s">
        <v>30</v>
      </c>
      <c r="E1991" s="74" t="s">
        <v>79</v>
      </c>
      <c r="F1991" s="80">
        <v>27.958422467680474</v>
      </c>
    </row>
    <row r="1992">
      <c r="A1992" s="76">
        <v>48.0</v>
      </c>
      <c r="B1992" s="74" t="s">
        <v>41</v>
      </c>
      <c r="C1992" s="74" t="s">
        <v>45</v>
      </c>
      <c r="D1992" s="74" t="s">
        <v>30</v>
      </c>
      <c r="E1992" s="74" t="s">
        <v>68</v>
      </c>
      <c r="F1992" s="77">
        <v>11.238422467680474</v>
      </c>
    </row>
    <row r="1993">
      <c r="A1993" s="76">
        <v>56.0</v>
      </c>
      <c r="B1993" s="74" t="s">
        <v>127</v>
      </c>
      <c r="C1993" s="74" t="s">
        <v>128</v>
      </c>
      <c r="D1993" s="74" t="s">
        <v>30</v>
      </c>
      <c r="E1993" s="74" t="s">
        <v>39</v>
      </c>
      <c r="F1993" s="80">
        <v>26.668422467680475</v>
      </c>
    </row>
    <row r="1994">
      <c r="A1994" s="76">
        <v>55.0</v>
      </c>
      <c r="B1994" s="74" t="s">
        <v>202</v>
      </c>
      <c r="C1994" s="74" t="s">
        <v>203</v>
      </c>
      <c r="D1994" s="74" t="s">
        <v>11</v>
      </c>
      <c r="E1994" s="74" t="s">
        <v>52</v>
      </c>
      <c r="F1994" s="77">
        <v>66.72842246768047</v>
      </c>
    </row>
    <row r="1995">
      <c r="A1995" s="76">
        <v>50.0</v>
      </c>
      <c r="B1995" s="74" t="s">
        <v>33</v>
      </c>
      <c r="C1995" s="74" t="s">
        <v>34</v>
      </c>
      <c r="D1995" s="74" t="s">
        <v>30</v>
      </c>
      <c r="E1995" s="74" t="s">
        <v>12</v>
      </c>
      <c r="F1995" s="80">
        <v>9.268422467680473</v>
      </c>
    </row>
    <row r="1996">
      <c r="A1996" s="76">
        <v>43.0</v>
      </c>
      <c r="B1996" s="74" t="s">
        <v>95</v>
      </c>
      <c r="C1996" s="74" t="s">
        <v>96</v>
      </c>
      <c r="D1996" s="74" t="s">
        <v>11</v>
      </c>
      <c r="E1996" s="74" t="s">
        <v>56</v>
      </c>
      <c r="F1996" s="77">
        <v>69.61842246768047</v>
      </c>
    </row>
    <row r="1997">
      <c r="A1997" s="76">
        <v>67.0</v>
      </c>
      <c r="B1997" s="74" t="s">
        <v>204</v>
      </c>
      <c r="C1997" s="74" t="s">
        <v>205</v>
      </c>
      <c r="D1997" s="74" t="s">
        <v>11</v>
      </c>
      <c r="E1997" s="74" t="s">
        <v>85</v>
      </c>
      <c r="F1997" s="80">
        <v>11.888422467680472</v>
      </c>
    </row>
    <row r="1998">
      <c r="A1998" s="76">
        <v>85.0</v>
      </c>
      <c r="B1998" s="74" t="s">
        <v>198</v>
      </c>
      <c r="C1998" s="74" t="s">
        <v>199</v>
      </c>
      <c r="D1998" s="74" t="s">
        <v>11</v>
      </c>
      <c r="E1998" s="74" t="s">
        <v>79</v>
      </c>
      <c r="F1998" s="77">
        <v>35.88842246768048</v>
      </c>
    </row>
    <row r="1999">
      <c r="A1999" s="76">
        <v>17.0</v>
      </c>
      <c r="B1999" s="74" t="s">
        <v>200</v>
      </c>
      <c r="C1999" s="74" t="s">
        <v>201</v>
      </c>
      <c r="D1999" s="74" t="s">
        <v>30</v>
      </c>
      <c r="E1999" s="74" t="s">
        <v>43</v>
      </c>
      <c r="F1999" s="80">
        <v>17.378422467680476</v>
      </c>
    </row>
    <row r="2000">
      <c r="A2000" s="76">
        <v>35.0</v>
      </c>
      <c r="B2000" s="74" t="s">
        <v>125</v>
      </c>
      <c r="C2000" s="74" t="s">
        <v>126</v>
      </c>
      <c r="D2000" s="74" t="s">
        <v>30</v>
      </c>
      <c r="E2000" s="74" t="s">
        <v>88</v>
      </c>
      <c r="F2000" s="77">
        <v>40.63842246768048</v>
      </c>
    </row>
    <row r="2001">
      <c r="A2001" s="76">
        <v>33.0</v>
      </c>
      <c r="B2001" s="74" t="s">
        <v>191</v>
      </c>
      <c r="C2001" s="74" t="s">
        <v>192</v>
      </c>
      <c r="D2001" s="74" t="s">
        <v>11</v>
      </c>
      <c r="E2001" s="74" t="s">
        <v>35</v>
      </c>
      <c r="F2001" s="80">
        <v>19.458422467680474</v>
      </c>
    </row>
    <row r="2002">
      <c r="A2002" s="60"/>
    </row>
    <row r="2003">
      <c r="A2003" s="60"/>
      <c r="F2003" s="75"/>
    </row>
    <row r="2004">
      <c r="F2004" s="75"/>
    </row>
  </sheetData>
  <autoFilter ref="$B$1:$F$2001"/>
  <mergeCells count="3">
    <mergeCell ref="I4:J4"/>
    <mergeCell ref="K4:L4"/>
    <mergeCell ref="L5:L8"/>
  </mergeCells>
  <conditionalFormatting sqref="D1:D2004">
    <cfRule type="containsText" dxfId="0" priority="1" operator="containsText" text="Compra">
      <formula>NOT(ISERROR(SEARCH(("Compra"),(D1))))</formula>
    </cfRule>
  </conditionalFormatting>
  <conditionalFormatting sqref="D1:D2004">
    <cfRule type="containsText" dxfId="1" priority="2" operator="containsText" text="Venda">
      <formula>NOT(ISERROR(SEARCH(("Venda"),(D1))))</formula>
    </cfRule>
  </conditionalFormatting>
  <drawing r:id="rId1"/>
  <tableParts count="1">
    <tablePart r:id="rId3"/>
  </tableParts>
</worksheet>
</file>