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4EA2208-2E40-4451-9F1D-9C62B4EDA178}" xr6:coauthVersionLast="47" xr6:coauthVersionMax="47" xr10:uidLastSave="{00000000-0000-0000-0000-000000000000}"/>
  <bookViews>
    <workbookView xWindow="-120" yWindow="-120" windowWidth="20730" windowHeight="11160" firstSheet="6" activeTab="9" xr2:uid="{00000000-000D-0000-FFFF-FFFF00000000}"/>
  </bookViews>
  <sheets>
    <sheet name="Practica-1" sheetId="1" r:id="rId1"/>
    <sheet name="Practica-1 grafico" sheetId="9" r:id="rId2"/>
    <sheet name="Practica-2" sheetId="3" r:id="rId3"/>
    <sheet name="Practica-2 grafico" sheetId="11" r:id="rId4"/>
    <sheet name="Práctica-3" sheetId="4" r:id="rId5"/>
    <sheet name="Practica-3 grafico" sheetId="13" r:id="rId6"/>
    <sheet name="Practica-4" sheetId="5" r:id="rId7"/>
    <sheet name="Practica-4 grafico" sheetId="14" r:id="rId8"/>
    <sheet name="Practica-5" sheetId="6" r:id="rId9"/>
    <sheet name="Practica-5 grafico" sheetId="15" r:id="rId10"/>
    <sheet name="Practica-6" sheetId="7" r:id="rId11"/>
    <sheet name="Practica-6 grafico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6" l="1"/>
  <c r="E2" i="16"/>
  <c r="C3" i="16"/>
  <c r="C4" i="16"/>
  <c r="C5" i="16"/>
  <c r="C6" i="16"/>
  <c r="C7" i="16"/>
  <c r="C8" i="16"/>
  <c r="C2" i="16"/>
  <c r="E2" i="15"/>
  <c r="E3" i="15" s="1"/>
  <c r="C3" i="14"/>
  <c r="C4" i="14"/>
  <c r="C5" i="14"/>
  <c r="C6" i="14"/>
  <c r="C7" i="14"/>
  <c r="C2" i="14"/>
  <c r="E3" i="14"/>
  <c r="E2" i="14"/>
  <c r="E3" i="13"/>
  <c r="E2" i="13"/>
  <c r="C3" i="13"/>
  <c r="C4" i="13"/>
  <c r="C5" i="13"/>
  <c r="C6" i="13"/>
  <c r="C7" i="13"/>
  <c r="C8" i="13"/>
  <c r="C9" i="13"/>
  <c r="C2" i="13"/>
  <c r="C3" i="11"/>
  <c r="C4" i="11"/>
  <c r="C5" i="11"/>
  <c r="C6" i="11"/>
  <c r="C7" i="11"/>
  <c r="C8" i="11"/>
  <c r="C9" i="11"/>
  <c r="C2" i="11"/>
  <c r="E3" i="11"/>
  <c r="E2" i="11"/>
  <c r="C3" i="9"/>
  <c r="C4" i="9"/>
  <c r="C5" i="9"/>
  <c r="C6" i="9"/>
  <c r="C7" i="9"/>
  <c r="C8" i="9"/>
  <c r="C9" i="9"/>
  <c r="C10" i="9"/>
  <c r="C2" i="9"/>
  <c r="E2" i="9"/>
  <c r="E3" i="9" s="1"/>
  <c r="E4" i="15" l="1"/>
  <c r="E4" i="9"/>
  <c r="E4" i="14"/>
  <c r="E4" i="11"/>
  <c r="E4" i="13"/>
  <c r="E4" i="16"/>
  <c r="E5" i="16" l="1"/>
  <c r="E5" i="13"/>
  <c r="E5" i="11"/>
  <c r="E5" i="9"/>
  <c r="E5" i="14"/>
  <c r="E5" i="15"/>
  <c r="J5" i="4"/>
  <c r="D29" i="7"/>
  <c r="E29" i="7" s="1"/>
  <c r="D28" i="7"/>
  <c r="D27" i="7"/>
  <c r="D26" i="7"/>
  <c r="D25" i="7"/>
  <c r="D24" i="7"/>
  <c r="D23" i="7"/>
  <c r="E23" i="7" s="1"/>
  <c r="M19" i="7"/>
  <c r="M20" i="7" s="1"/>
  <c r="M17" i="7"/>
  <c r="A23" i="7" s="1"/>
  <c r="M16" i="7"/>
  <c r="M18" i="7"/>
  <c r="D28" i="6"/>
  <c r="D26" i="6"/>
  <c r="D27" i="6"/>
  <c r="D25" i="6"/>
  <c r="D24" i="6"/>
  <c r="D23" i="6"/>
  <c r="M19" i="6"/>
  <c r="M20" i="6" s="1"/>
  <c r="M17" i="6"/>
  <c r="A23" i="6" s="1"/>
  <c r="M16" i="6"/>
  <c r="D28" i="5"/>
  <c r="D27" i="5"/>
  <c r="D26" i="5"/>
  <c r="D25" i="5"/>
  <c r="D24" i="5"/>
  <c r="D23" i="5"/>
  <c r="E23" i="5" s="1"/>
  <c r="A23" i="5"/>
  <c r="M19" i="5"/>
  <c r="M20" i="5" s="1"/>
  <c r="M17" i="5"/>
  <c r="M16" i="5"/>
  <c r="M18" i="5" s="1"/>
  <c r="D30" i="4"/>
  <c r="D29" i="4"/>
  <c r="D28" i="4"/>
  <c r="D27" i="4"/>
  <c r="D26" i="4"/>
  <c r="D25" i="4"/>
  <c r="D24" i="4"/>
  <c r="D23" i="4"/>
  <c r="D30" i="3"/>
  <c r="D29" i="3"/>
  <c r="D28" i="3"/>
  <c r="D27" i="3"/>
  <c r="D26" i="3"/>
  <c r="D25" i="3"/>
  <c r="D24" i="3"/>
  <c r="D23" i="3"/>
  <c r="K10" i="3"/>
  <c r="K11" i="3" s="1"/>
  <c r="K12" i="4"/>
  <c r="K13" i="4" s="1"/>
  <c r="K10" i="4"/>
  <c r="A23" i="4" s="1"/>
  <c r="K9" i="4"/>
  <c r="K11" i="4" s="1"/>
  <c r="A23" i="3"/>
  <c r="K8" i="3"/>
  <c r="K7" i="3"/>
  <c r="K9" i="3" s="1"/>
  <c r="E6" i="13" l="1"/>
  <c r="E6" i="15"/>
  <c r="E6" i="9"/>
  <c r="E6" i="14"/>
  <c r="E6" i="11"/>
  <c r="E6" i="16"/>
  <c r="D31" i="3"/>
  <c r="F27" i="3" s="1"/>
  <c r="G27" i="3" s="1"/>
  <c r="E23" i="3"/>
  <c r="E24" i="3" s="1"/>
  <c r="E25" i="3" s="1"/>
  <c r="E26" i="3" s="1"/>
  <c r="E27" i="3" s="1"/>
  <c r="E28" i="3" s="1"/>
  <c r="E29" i="3" s="1"/>
  <c r="E30" i="3" s="1"/>
  <c r="K12" i="3"/>
  <c r="D30" i="7"/>
  <c r="F28" i="7" s="1"/>
  <c r="G28" i="7" s="1"/>
  <c r="M21" i="7"/>
  <c r="B23" i="7" s="1"/>
  <c r="A24" i="7" s="1"/>
  <c r="E24" i="7"/>
  <c r="E25" i="7" s="1"/>
  <c r="E26" i="7" s="1"/>
  <c r="E27" i="7" s="1"/>
  <c r="E28" i="7" s="1"/>
  <c r="D29" i="6"/>
  <c r="F27" i="6" s="1"/>
  <c r="G27" i="6" s="1"/>
  <c r="M18" i="6"/>
  <c r="M21" i="6" s="1"/>
  <c r="B23" i="6" s="1"/>
  <c r="A24" i="6" s="1"/>
  <c r="E23" i="6"/>
  <c r="E24" i="6" s="1"/>
  <c r="E25" i="6" s="1"/>
  <c r="E26" i="6" s="1"/>
  <c r="E27" i="6" s="1"/>
  <c r="E28" i="6" s="1"/>
  <c r="E24" i="5"/>
  <c r="D29" i="5"/>
  <c r="F24" i="5" s="1"/>
  <c r="G24" i="5" s="1"/>
  <c r="E25" i="5"/>
  <c r="E26" i="5" s="1"/>
  <c r="E27" i="5" s="1"/>
  <c r="E28" i="5" s="1"/>
  <c r="M21" i="5"/>
  <c r="B23" i="5" s="1"/>
  <c r="A24" i="5" s="1"/>
  <c r="B24" i="5" s="1"/>
  <c r="D31" i="4"/>
  <c r="F30" i="4" s="1"/>
  <c r="G30" i="4" s="1"/>
  <c r="E23" i="4"/>
  <c r="E24" i="4" s="1"/>
  <c r="E25" i="4" s="1"/>
  <c r="E26" i="4" s="1"/>
  <c r="E27" i="4" s="1"/>
  <c r="E28" i="4" s="1"/>
  <c r="E29" i="4" s="1"/>
  <c r="E30" i="4" s="1"/>
  <c r="K14" i="4"/>
  <c r="B23" i="4" s="1"/>
  <c r="B23" i="3"/>
  <c r="A24" i="3" s="1"/>
  <c r="F27" i="4" l="1"/>
  <c r="G27" i="4" s="1"/>
  <c r="E7" i="16"/>
  <c r="F6" i="15"/>
  <c r="E7" i="15"/>
  <c r="F26" i="4"/>
  <c r="G26" i="4" s="1"/>
  <c r="E7" i="14"/>
  <c r="F6" i="14"/>
  <c r="E7" i="11"/>
  <c r="E7" i="9"/>
  <c r="E7" i="13"/>
  <c r="C23" i="4"/>
  <c r="A24" i="4"/>
  <c r="B24" i="4" s="1"/>
  <c r="A25" i="4" s="1"/>
  <c r="B25" i="4" s="1"/>
  <c r="F29" i="4"/>
  <c r="G29" i="4" s="1"/>
  <c r="F28" i="4"/>
  <c r="G28" i="4" s="1"/>
  <c r="F26" i="3"/>
  <c r="G26" i="3" s="1"/>
  <c r="F30" i="3"/>
  <c r="G30" i="3" s="1"/>
  <c r="F24" i="3"/>
  <c r="G24" i="3" s="1"/>
  <c r="F28" i="3"/>
  <c r="G28" i="3" s="1"/>
  <c r="F23" i="3"/>
  <c r="F29" i="7"/>
  <c r="G29" i="7" s="1"/>
  <c r="F25" i="3"/>
  <c r="G25" i="3" s="1"/>
  <c r="F29" i="3"/>
  <c r="G29" i="3" s="1"/>
  <c r="F25" i="7"/>
  <c r="F24" i="7"/>
  <c r="F26" i="7"/>
  <c r="F23" i="7"/>
  <c r="F27" i="7"/>
  <c r="G27" i="7" s="1"/>
  <c r="C23" i="7"/>
  <c r="B24" i="7"/>
  <c r="A25" i="7" s="1"/>
  <c r="F24" i="6"/>
  <c r="G24" i="6" s="1"/>
  <c r="F25" i="6"/>
  <c r="G25" i="6" s="1"/>
  <c r="F26" i="6"/>
  <c r="G26" i="6" s="1"/>
  <c r="F23" i="6"/>
  <c r="H23" i="6" s="1"/>
  <c r="F28" i="6"/>
  <c r="G28" i="6" s="1"/>
  <c r="C23" i="6"/>
  <c r="B24" i="6"/>
  <c r="A25" i="6" s="1"/>
  <c r="F26" i="5"/>
  <c r="G26" i="5" s="1"/>
  <c r="F25" i="5"/>
  <c r="G25" i="5" s="1"/>
  <c r="F23" i="5"/>
  <c r="F28" i="5"/>
  <c r="G28" i="5" s="1"/>
  <c r="F27" i="5"/>
  <c r="G27" i="5" s="1"/>
  <c r="A25" i="5"/>
  <c r="B25" i="5" s="1"/>
  <c r="C23" i="5"/>
  <c r="F23" i="4"/>
  <c r="F24" i="4"/>
  <c r="G24" i="4" s="1"/>
  <c r="F25" i="4"/>
  <c r="G25" i="4" s="1"/>
  <c r="C24" i="4"/>
  <c r="C23" i="3"/>
  <c r="E8" i="9" l="1"/>
  <c r="F7" i="14"/>
  <c r="F3" i="14"/>
  <c r="F2" i="14"/>
  <c r="F4" i="14"/>
  <c r="F5" i="14"/>
  <c r="F7" i="16"/>
  <c r="E8" i="16"/>
  <c r="E8" i="13"/>
  <c r="E8" i="11"/>
  <c r="F7" i="15"/>
  <c r="F2" i="15"/>
  <c r="F3" i="15"/>
  <c r="F4" i="15"/>
  <c r="F5" i="15"/>
  <c r="F30" i="7"/>
  <c r="C24" i="6"/>
  <c r="G26" i="7"/>
  <c r="G24" i="7"/>
  <c r="G25" i="7"/>
  <c r="H23" i="3"/>
  <c r="F31" i="3"/>
  <c r="G31" i="3" s="1"/>
  <c r="G23" i="3"/>
  <c r="G23" i="7"/>
  <c r="H23" i="7"/>
  <c r="I23" i="7" s="1"/>
  <c r="C24" i="7"/>
  <c r="B25" i="7"/>
  <c r="A26" i="7" s="1"/>
  <c r="G23" i="6"/>
  <c r="F29" i="6"/>
  <c r="G29" i="6" s="1"/>
  <c r="H24" i="6"/>
  <c r="I23" i="6"/>
  <c r="B25" i="6"/>
  <c r="A26" i="6" s="1"/>
  <c r="F29" i="5"/>
  <c r="G29" i="5" s="1"/>
  <c r="G23" i="5"/>
  <c r="H23" i="5"/>
  <c r="H24" i="5" s="1"/>
  <c r="C24" i="5"/>
  <c r="A26" i="5"/>
  <c r="B26" i="5" s="1"/>
  <c r="F31" i="4"/>
  <c r="G31" i="4" s="1"/>
  <c r="G23" i="4"/>
  <c r="H23" i="4"/>
  <c r="I23" i="4" s="1"/>
  <c r="H24" i="4"/>
  <c r="A26" i="4"/>
  <c r="B26" i="4" s="1"/>
  <c r="B24" i="3"/>
  <c r="A25" i="3" s="1"/>
  <c r="E9" i="11" l="1"/>
  <c r="F8" i="11"/>
  <c r="E9" i="13"/>
  <c r="F8" i="13" s="1"/>
  <c r="F8" i="16"/>
  <c r="F2" i="16"/>
  <c r="F3" i="16"/>
  <c r="F4" i="16"/>
  <c r="F5" i="16"/>
  <c r="F6" i="16"/>
  <c r="E9" i="9"/>
  <c r="C25" i="7"/>
  <c r="H24" i="3"/>
  <c r="I23" i="3"/>
  <c r="H24" i="7"/>
  <c r="G30" i="7"/>
  <c r="B26" i="7"/>
  <c r="A27" i="7" s="1"/>
  <c r="B26" i="6"/>
  <c r="A27" i="6" s="1"/>
  <c r="C25" i="6"/>
  <c r="H25" i="6"/>
  <c r="I24" i="6"/>
  <c r="I23" i="5"/>
  <c r="A27" i="5"/>
  <c r="B27" i="5" s="1"/>
  <c r="C25" i="5"/>
  <c r="H25" i="5"/>
  <c r="I24" i="5"/>
  <c r="C25" i="4"/>
  <c r="A27" i="4"/>
  <c r="B27" i="4" s="1"/>
  <c r="H25" i="4"/>
  <c r="I24" i="4"/>
  <c r="B25" i="3"/>
  <c r="A26" i="3" s="1"/>
  <c r="C24" i="3"/>
  <c r="L5" i="1"/>
  <c r="L4" i="1"/>
  <c r="O5" i="1" s="1"/>
  <c r="L3" i="1"/>
  <c r="L7" i="1" s="1"/>
  <c r="E10" i="9" l="1"/>
  <c r="F9" i="9"/>
  <c r="F9" i="13"/>
  <c r="F2" i="13"/>
  <c r="F3" i="13"/>
  <c r="F4" i="13"/>
  <c r="F5" i="13"/>
  <c r="F6" i="13"/>
  <c r="F7" i="13"/>
  <c r="L6" i="1"/>
  <c r="F9" i="11"/>
  <c r="F2" i="11"/>
  <c r="F3" i="11"/>
  <c r="F4" i="11"/>
  <c r="F5" i="11"/>
  <c r="F6" i="11"/>
  <c r="F7" i="11"/>
  <c r="C26" i="7"/>
  <c r="L8" i="1"/>
  <c r="O6" i="1" s="1"/>
  <c r="I24" i="7"/>
  <c r="H25" i="7"/>
  <c r="I24" i="3"/>
  <c r="H25" i="3"/>
  <c r="B27" i="7"/>
  <c r="A28" i="7" s="1"/>
  <c r="H26" i="6"/>
  <c r="I25" i="6"/>
  <c r="B27" i="6"/>
  <c r="A28" i="6" s="1"/>
  <c r="C26" i="6"/>
  <c r="H26" i="5"/>
  <c r="I25" i="5"/>
  <c r="A28" i="5"/>
  <c r="B28" i="5" s="1"/>
  <c r="C26" i="5"/>
  <c r="H26" i="4"/>
  <c r="I25" i="4"/>
  <c r="C26" i="4"/>
  <c r="A28" i="4"/>
  <c r="B28" i="4" s="1"/>
  <c r="C25" i="3"/>
  <c r="B26" i="3"/>
  <c r="A27" i="3" s="1"/>
  <c r="J4" i="4"/>
  <c r="J5" i="3"/>
  <c r="J4" i="3"/>
  <c r="C26" i="3" l="1"/>
  <c r="F10" i="9"/>
  <c r="F3" i="9"/>
  <c r="F2" i="9"/>
  <c r="F4" i="9"/>
  <c r="F5" i="9"/>
  <c r="F6" i="9"/>
  <c r="F7" i="9"/>
  <c r="F8" i="9"/>
  <c r="O7" i="1"/>
  <c r="P6" i="1"/>
  <c r="H26" i="3"/>
  <c r="I25" i="3"/>
  <c r="C27" i="7"/>
  <c r="P5" i="1"/>
  <c r="C28" i="7"/>
  <c r="I25" i="7"/>
  <c r="H26" i="7"/>
  <c r="B28" i="7"/>
  <c r="A29" i="7" s="1"/>
  <c r="B28" i="6"/>
  <c r="C28" i="6" s="1"/>
  <c r="C27" i="6"/>
  <c r="H27" i="6"/>
  <c r="I26" i="6"/>
  <c r="C27" i="5"/>
  <c r="H27" i="5"/>
  <c r="I26" i="5"/>
  <c r="C27" i="4"/>
  <c r="H27" i="4"/>
  <c r="I26" i="4"/>
  <c r="A29" i="4"/>
  <c r="B29" i="4" s="1"/>
  <c r="C28" i="4"/>
  <c r="B27" i="3"/>
  <c r="B29" i="7" l="1"/>
  <c r="C29" i="7" s="1"/>
  <c r="H27" i="3"/>
  <c r="I26" i="3"/>
  <c r="H27" i="7"/>
  <c r="I26" i="7"/>
  <c r="P7" i="1"/>
  <c r="O8" i="1"/>
  <c r="H28" i="6"/>
  <c r="I28" i="6" s="1"/>
  <c r="I27" i="6"/>
  <c r="H28" i="5"/>
  <c r="I27" i="5"/>
  <c r="C28" i="5"/>
  <c r="A30" i="4"/>
  <c r="B30" i="4" s="1"/>
  <c r="H28" i="4"/>
  <c r="I27" i="4"/>
  <c r="C27" i="3"/>
  <c r="A28" i="3"/>
  <c r="O9" i="1" l="1"/>
  <c r="O10" i="1" s="1"/>
  <c r="O11" i="1" s="1"/>
  <c r="O12" i="1" s="1"/>
  <c r="O13" i="1" s="1"/>
  <c r="P8" i="1"/>
  <c r="I27" i="3"/>
  <c r="H28" i="3"/>
  <c r="H28" i="7"/>
  <c r="I27" i="7"/>
  <c r="I28" i="5"/>
  <c r="C29" i="4"/>
  <c r="H29" i="4"/>
  <c r="I28" i="4"/>
  <c r="C30" i="4"/>
  <c r="B28" i="3"/>
  <c r="A29" i="3" s="1"/>
  <c r="P9" i="1" l="1"/>
  <c r="P10" i="1" s="1"/>
  <c r="P11" i="1" s="1"/>
  <c r="P12" i="1" s="1"/>
  <c r="P13" i="1" s="1"/>
  <c r="H29" i="3"/>
  <c r="I28" i="3"/>
  <c r="H29" i="7"/>
  <c r="I29" i="7" s="1"/>
  <c r="I28" i="7"/>
  <c r="H30" i="4"/>
  <c r="I30" i="4" s="1"/>
  <c r="I29" i="4"/>
  <c r="B29" i="3"/>
  <c r="A30" i="3" s="1"/>
  <c r="C28" i="3"/>
  <c r="H30" i="3" l="1"/>
  <c r="I30" i="3" s="1"/>
  <c r="I29" i="3"/>
  <c r="C29" i="3"/>
  <c r="B30" i="3"/>
  <c r="C30" i="3" s="1"/>
</calcChain>
</file>

<file path=xl/sharedStrings.xml><?xml version="1.0" encoding="utf-8"?>
<sst xmlns="http://schemas.openxmlformats.org/spreadsheetml/2006/main" count="129" uniqueCount="32">
  <si>
    <t>DATOS</t>
  </si>
  <si>
    <t>Cálculos previos</t>
  </si>
  <si>
    <t>Nº datos</t>
  </si>
  <si>
    <t>Rango</t>
  </si>
  <si>
    <t>Tamaño de la clase o amplitud</t>
  </si>
  <si>
    <t>Nº de clases</t>
  </si>
  <si>
    <t xml:space="preserve">Límite inferior </t>
  </si>
  <si>
    <t>Límite superior</t>
  </si>
  <si>
    <t>Nº de Intervalo</t>
  </si>
  <si>
    <t>Valor Mínimo</t>
  </si>
  <si>
    <t>Valor Máximo</t>
  </si>
  <si>
    <t>Amplitud</t>
  </si>
  <si>
    <t>Realizar las tablas de frecuencia y gráficos</t>
  </si>
  <si>
    <t>Marca de clase (Xi)</t>
  </si>
  <si>
    <t>Frecuencia absoluta (fi)</t>
  </si>
  <si>
    <t>Frecuencia absoluta acumulada (Fi)</t>
  </si>
  <si>
    <t>Frecuencia relativa (fr)</t>
  </si>
  <si>
    <t>Frecuencia relativa acumulada (Fr)</t>
  </si>
  <si>
    <t>Lìmite inferior</t>
  </si>
  <si>
    <t>Lìmite superior</t>
  </si>
  <si>
    <t>Valor máximo</t>
  </si>
  <si>
    <t>Valor mínimo</t>
  </si>
  <si>
    <t>n</t>
  </si>
  <si>
    <t>Intervalos</t>
  </si>
  <si>
    <t>TOTAL</t>
  </si>
  <si>
    <t/>
  </si>
  <si>
    <t>y mayor...</t>
  </si>
  <si>
    <t>Frecuencia</t>
  </si>
  <si>
    <t>% acumulado</t>
  </si>
  <si>
    <t>Frecuencia absoluta acumulada</t>
  </si>
  <si>
    <t>Frecuencia relativa</t>
  </si>
  <si>
    <t>Marca de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</si>
</sst>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1" fillId="0" borderId="0" xfId="0" applyFont="1"/>
    <xf numFmtId="0" fontId="0" fillId="4" borderId="15" xfId="0" applyFill="1" applyBorder="1" applyAlignment="1">
      <alignment horizontal="right" wrapText="1"/>
    </xf>
    <xf numFmtId="0" fontId="0" fillId="4" borderId="16" xfId="0" applyFill="1" applyBorder="1" applyAlignment="1">
      <alignment horizontal="right" wrapText="1"/>
    </xf>
    <xf numFmtId="0" fontId="0" fillId="4" borderId="17" xfId="0" applyFill="1" applyBorder="1" applyAlignment="1">
      <alignment horizontal="right" wrapText="1"/>
    </xf>
    <xf numFmtId="0" fontId="0" fillId="4" borderId="18" xfId="0" applyFill="1" applyBorder="1" applyAlignment="1">
      <alignment horizontal="right" wrapText="1"/>
    </xf>
    <xf numFmtId="0" fontId="2" fillId="5" borderId="15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9" fontId="0" fillId="2" borderId="20" xfId="1" applyFont="1" applyFill="1" applyBorder="1" applyAlignment="1">
      <alignment horizontal="center" vertical="center"/>
    </xf>
    <xf numFmtId="9" fontId="0" fillId="2" borderId="24" xfId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9" fontId="0" fillId="7" borderId="19" xfId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7" borderId="12" xfId="0" applyFill="1" applyBorder="1"/>
    <xf numFmtId="0" fontId="0" fillId="7" borderId="2" xfId="0" applyFill="1" applyBorder="1"/>
    <xf numFmtId="0" fontId="0" fillId="7" borderId="19" xfId="0" applyFill="1" applyBorder="1"/>
    <xf numFmtId="0" fontId="0" fillId="7" borderId="3" xfId="0" applyFill="1" applyBorder="1"/>
    <xf numFmtId="0" fontId="0" fillId="7" borderId="0" xfId="0" applyFill="1"/>
    <xf numFmtId="0" fontId="0" fillId="7" borderId="5" xfId="0" applyFill="1" applyBorder="1"/>
    <xf numFmtId="0" fontId="0" fillId="7" borderId="24" xfId="0" applyFill="1" applyBorder="1"/>
    <xf numFmtId="0" fontId="0" fillId="7" borderId="13" xfId="0" applyFill="1" applyBorder="1"/>
    <xf numFmtId="0" fontId="0" fillId="7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6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10" fontId="0" fillId="0" borderId="7" xfId="0" applyNumberFormat="1" applyBorder="1"/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29" xfId="0" applyFont="1" applyBorder="1" applyAlignment="1">
      <alignment horizontal="center" wrapText="1"/>
    </xf>
    <xf numFmtId="0" fontId="5" fillId="0" borderId="30" xfId="0" applyFont="1" applyBorder="1" applyAlignment="1">
      <alignment horizontal="center" wrapText="1"/>
    </xf>
    <xf numFmtId="0" fontId="0" fillId="0" borderId="31" xfId="0" applyBorder="1"/>
    <xf numFmtId="0" fontId="0" fillId="0" borderId="32" xfId="0" applyBorder="1"/>
    <xf numFmtId="9" fontId="0" fillId="0" borderId="32" xfId="1" applyFont="1" applyFill="1" applyBorder="1" applyAlignment="1"/>
    <xf numFmtId="10" fontId="0" fillId="0" borderId="33" xfId="0" applyNumberFormat="1" applyBorder="1"/>
    <xf numFmtId="0" fontId="0" fillId="0" borderId="34" xfId="0" applyBorder="1"/>
    <xf numFmtId="9" fontId="0" fillId="0" borderId="14" xfId="1" applyFont="1" applyFill="1" applyBorder="1" applyAlignment="1"/>
    <xf numFmtId="10" fontId="0" fillId="0" borderId="35" xfId="0" applyNumberFormat="1" applyBorder="1"/>
    <xf numFmtId="0" fontId="0" fillId="0" borderId="36" xfId="0" applyBorder="1"/>
    <xf numFmtId="0" fontId="0" fillId="0" borderId="37" xfId="0" applyBorder="1"/>
    <xf numFmtId="9" fontId="0" fillId="0" borderId="37" xfId="1" applyFont="1" applyFill="1" applyBorder="1" applyAlignment="1"/>
    <xf numFmtId="10" fontId="0" fillId="0" borderId="38" xfId="0" applyNumberFormat="1" applyBorder="1"/>
    <xf numFmtId="0" fontId="6" fillId="0" borderId="1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9" fontId="0" fillId="0" borderId="23" xfId="1" applyFont="1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9" fontId="0" fillId="0" borderId="21" xfId="1" applyFont="1" applyFill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9" fontId="0" fillId="0" borderId="22" xfId="1" applyFont="1" applyFill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6" borderId="19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'Practica-1 grafico'!$C$2:$C$11</c:f>
              <c:strCache>
                <c:ptCount val="10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75</c:v>
                </c:pt>
                <c:pt idx="5">
                  <c:v>85</c:v>
                </c:pt>
                <c:pt idx="6">
                  <c:v>95</c:v>
                </c:pt>
                <c:pt idx="7">
                  <c:v>105</c:v>
                </c:pt>
                <c:pt idx="8">
                  <c:v>115</c:v>
                </c:pt>
                <c:pt idx="9">
                  <c:v>y mayor...</c:v>
                </c:pt>
              </c:strCache>
            </c:strRef>
          </c:cat>
          <c:val>
            <c:numRef>
              <c:f>'Practica-1 grafico'!$D$2:$D$11</c:f>
              <c:numCache>
                <c:formatCode>General</c:formatCode>
                <c:ptCount val="10"/>
                <c:pt idx="0">
                  <c:v>25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19</c:v>
                </c:pt>
                <c:pt idx="6">
                  <c:v>20</c:v>
                </c:pt>
                <c:pt idx="7">
                  <c:v>10</c:v>
                </c:pt>
                <c:pt idx="8">
                  <c:v>19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B-485D-A909-9CCFE6A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595696"/>
        <c:axId val="-1095596784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'Practica-1 grafico'!$C$2:$C$11</c:f>
              <c:strCache>
                <c:ptCount val="10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75</c:v>
                </c:pt>
                <c:pt idx="5">
                  <c:v>85</c:v>
                </c:pt>
                <c:pt idx="6">
                  <c:v>95</c:v>
                </c:pt>
                <c:pt idx="7">
                  <c:v>105</c:v>
                </c:pt>
                <c:pt idx="8">
                  <c:v>115</c:v>
                </c:pt>
                <c:pt idx="9">
                  <c:v>y mayor...</c:v>
                </c:pt>
              </c:strCache>
            </c:strRef>
          </c:cat>
          <c:val>
            <c:numRef>
              <c:f>'Practica-1 grafico'!$G$2:$G$11</c:f>
              <c:numCache>
                <c:formatCode>0.00%</c:formatCode>
                <c:ptCount val="10"/>
                <c:pt idx="0">
                  <c:v>0.14880952380952381</c:v>
                </c:pt>
                <c:pt idx="1">
                  <c:v>0.25595238095238093</c:v>
                </c:pt>
                <c:pt idx="2">
                  <c:v>0.34523809523809523</c:v>
                </c:pt>
                <c:pt idx="3">
                  <c:v>0.45833333333333331</c:v>
                </c:pt>
                <c:pt idx="4">
                  <c:v>0.59523809523809523</c:v>
                </c:pt>
                <c:pt idx="5">
                  <c:v>0.70833333333333337</c:v>
                </c:pt>
                <c:pt idx="6">
                  <c:v>0.82738095238095233</c:v>
                </c:pt>
                <c:pt idx="7">
                  <c:v>0.88690476190476186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B-485D-A909-9CCFE6A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0535104"/>
        <c:axId val="-1100536736"/>
      </c:lineChart>
      <c:catAx>
        <c:axId val="-10955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s-P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95596784"/>
        <c:crosses val="autoZero"/>
        <c:auto val="1"/>
        <c:lblAlgn val="ctr"/>
        <c:lblOffset val="100"/>
        <c:noMultiLvlLbl val="0"/>
      </c:catAx>
      <c:valAx>
        <c:axId val="-109559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095595696"/>
        <c:crosses val="autoZero"/>
        <c:crossBetween val="between"/>
      </c:valAx>
      <c:valAx>
        <c:axId val="-1100536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100535104"/>
        <c:crosses val="max"/>
        <c:crossBetween val="between"/>
      </c:valAx>
      <c:catAx>
        <c:axId val="-110053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005367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'Practica-4 grafico'!$C$2:$C$8</c:f>
              <c:strCache>
                <c:ptCount val="7"/>
                <c:pt idx="0">
                  <c:v>1.416666667</c:v>
                </c:pt>
                <c:pt idx="1">
                  <c:v>2.25</c:v>
                </c:pt>
                <c:pt idx="2">
                  <c:v>3.083333333</c:v>
                </c:pt>
                <c:pt idx="3">
                  <c:v>3.916666667</c:v>
                </c:pt>
                <c:pt idx="4">
                  <c:v>4.75</c:v>
                </c:pt>
                <c:pt idx="5">
                  <c:v>5.583333333</c:v>
                </c:pt>
                <c:pt idx="6">
                  <c:v>y mayor...</c:v>
                </c:pt>
              </c:strCache>
            </c:strRef>
          </c:cat>
          <c:val>
            <c:numRef>
              <c:f>'Practica-4 grafico'!$D$2:$D$8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9-4678-B065-342CFE04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1710544"/>
        <c:axId val="-521704016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'Practica-4 grafico'!$C$2:$C$8</c:f>
              <c:strCache>
                <c:ptCount val="7"/>
                <c:pt idx="0">
                  <c:v>1.416666667</c:v>
                </c:pt>
                <c:pt idx="1">
                  <c:v>2.25</c:v>
                </c:pt>
                <c:pt idx="2">
                  <c:v>3.083333333</c:v>
                </c:pt>
                <c:pt idx="3">
                  <c:v>3.916666667</c:v>
                </c:pt>
                <c:pt idx="4">
                  <c:v>4.75</c:v>
                </c:pt>
                <c:pt idx="5">
                  <c:v>5.583333333</c:v>
                </c:pt>
                <c:pt idx="6">
                  <c:v>y mayor...</c:v>
                </c:pt>
              </c:strCache>
            </c:strRef>
          </c:cat>
          <c:val>
            <c:numRef>
              <c:f>'Practica-4 grafico'!$G$2:$G$8</c:f>
              <c:numCache>
                <c:formatCode>0.00%</c:formatCode>
                <c:ptCount val="7"/>
                <c:pt idx="0">
                  <c:v>0.3</c:v>
                </c:pt>
                <c:pt idx="1">
                  <c:v>0.55000000000000004</c:v>
                </c:pt>
                <c:pt idx="2">
                  <c:v>0.65</c:v>
                </c:pt>
                <c:pt idx="3">
                  <c:v>0.75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9-4678-B065-342CFE04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1706736"/>
        <c:axId val="-521710000"/>
      </c:lineChart>
      <c:catAx>
        <c:axId val="-5217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521704016"/>
        <c:crosses val="autoZero"/>
        <c:auto val="1"/>
        <c:lblAlgn val="ctr"/>
        <c:lblOffset val="100"/>
        <c:noMultiLvlLbl val="0"/>
      </c:catAx>
      <c:valAx>
        <c:axId val="-5217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521710544"/>
        <c:crosses val="autoZero"/>
        <c:crossBetween val="between"/>
      </c:valAx>
      <c:valAx>
        <c:axId val="-5217100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521706736"/>
        <c:crosses val="max"/>
        <c:crossBetween val="between"/>
      </c:valAx>
      <c:catAx>
        <c:axId val="-52170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2171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Frecuencia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'Practica-4 grafico'!$D$2:$D$7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D-4BCD-ABAB-84FAE973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022168912"/>
        <c:axId val="-1022165648"/>
        <c:axId val="0"/>
      </c:bar3DChart>
      <c:catAx>
        <c:axId val="-102216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22165648"/>
        <c:crosses val="autoZero"/>
        <c:auto val="1"/>
        <c:lblAlgn val="ctr"/>
        <c:lblOffset val="100"/>
        <c:noMultiLvlLbl val="0"/>
      </c:catAx>
      <c:valAx>
        <c:axId val="-10221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221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43-4051-A98C-72345FA3CC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43-4051-A98C-72345FA3CC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43-4051-A98C-72345FA3CC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43-4051-A98C-72345FA3CC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43-4051-A98C-72345FA3CC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43-4051-A98C-72345FA3CC8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'Practica-4 grafico'!$D$2:$D$7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43-4051-A98C-72345FA3CC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'Practica-5 grafico'!$C$2:$C$8</c:f>
              <c:strCache>
                <c:ptCount val="7"/>
                <c:pt idx="0">
                  <c:v>2.133333333</c:v>
                </c:pt>
                <c:pt idx="1">
                  <c:v>2.466666667</c:v>
                </c:pt>
                <c:pt idx="2">
                  <c:v>2.8</c:v>
                </c:pt>
                <c:pt idx="3">
                  <c:v>3.133333333</c:v>
                </c:pt>
                <c:pt idx="4">
                  <c:v>3.466666667</c:v>
                </c:pt>
                <c:pt idx="5">
                  <c:v>3.8</c:v>
                </c:pt>
                <c:pt idx="6">
                  <c:v>y mayor...</c:v>
                </c:pt>
              </c:strCache>
            </c:strRef>
          </c:cat>
          <c:val>
            <c:numRef>
              <c:f>'Practica-5 grafico'!$D$2:$D$8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2-412A-88CB-0921740D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1707824"/>
        <c:axId val="-521707280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'Practica-5 grafico'!$C$2:$C$8</c:f>
              <c:strCache>
                <c:ptCount val="7"/>
                <c:pt idx="0">
                  <c:v>2.133333333</c:v>
                </c:pt>
                <c:pt idx="1">
                  <c:v>2.466666667</c:v>
                </c:pt>
                <c:pt idx="2">
                  <c:v>2.8</c:v>
                </c:pt>
                <c:pt idx="3">
                  <c:v>3.133333333</c:v>
                </c:pt>
                <c:pt idx="4">
                  <c:v>3.466666667</c:v>
                </c:pt>
                <c:pt idx="5">
                  <c:v>3.8</c:v>
                </c:pt>
                <c:pt idx="6">
                  <c:v>y mayor...</c:v>
                </c:pt>
              </c:strCache>
            </c:strRef>
          </c:cat>
          <c:val>
            <c:numRef>
              <c:f>'Practica-5 grafico'!$G$2:$G$8</c:f>
              <c:numCache>
                <c:formatCode>0.00%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0.45</c:v>
                </c:pt>
                <c:pt idx="3">
                  <c:v>0.7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2-412A-88CB-0921740D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0778368"/>
        <c:axId val="-1020778912"/>
      </c:lineChart>
      <c:catAx>
        <c:axId val="-5217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521707280"/>
        <c:crosses val="autoZero"/>
        <c:auto val="1"/>
        <c:lblAlgn val="ctr"/>
        <c:lblOffset val="100"/>
        <c:noMultiLvlLbl val="0"/>
      </c:catAx>
      <c:valAx>
        <c:axId val="-521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521707824"/>
        <c:crosses val="autoZero"/>
        <c:crossBetween val="between"/>
      </c:valAx>
      <c:valAx>
        <c:axId val="-10207789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20778368"/>
        <c:crosses val="max"/>
        <c:crossBetween val="between"/>
      </c:valAx>
      <c:catAx>
        <c:axId val="-1020778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2077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47-4454-ADBB-03D2453E78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47-4454-ADBB-03D2453E78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47-4454-ADBB-03D2453E78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47-4454-ADBB-03D2453E78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47-4454-ADBB-03D2453E78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47-4454-ADBB-03D2453E788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'Practica-5 grafico'!$D$2:$D$7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47-4454-ADBB-03D2453E78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'Practica-5 grafico'!$D$2:$D$7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A-407F-880A-78F669AFF9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-1085934688"/>
        <c:axId val="-1085931968"/>
        <c:axId val="0"/>
      </c:bar3DChart>
      <c:catAx>
        <c:axId val="-10859346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85931968"/>
        <c:crosses val="autoZero"/>
        <c:auto val="1"/>
        <c:lblAlgn val="ctr"/>
        <c:lblOffset val="100"/>
        <c:noMultiLvlLbl val="0"/>
      </c:catAx>
      <c:valAx>
        <c:axId val="-10859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85934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'Practica-6 grafico'!$C$2:$C$9</c:f>
              <c:strCache>
                <c:ptCount val="8"/>
                <c:pt idx="0">
                  <c:v>6.142857143</c:v>
                </c:pt>
                <c:pt idx="1">
                  <c:v>16.42857143</c:v>
                </c:pt>
                <c:pt idx="2">
                  <c:v>26.71428571</c:v>
                </c:pt>
                <c:pt idx="3">
                  <c:v>37</c:v>
                </c:pt>
                <c:pt idx="4">
                  <c:v>47.28571429</c:v>
                </c:pt>
                <c:pt idx="5">
                  <c:v>57.57142857</c:v>
                </c:pt>
                <c:pt idx="6">
                  <c:v>67.85714286</c:v>
                </c:pt>
                <c:pt idx="7">
                  <c:v>y mayor...</c:v>
                </c:pt>
              </c:strCache>
            </c:strRef>
          </c:cat>
          <c:val>
            <c:numRef>
              <c:f>'Practica-6 grafico'!$D$2:$D$9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5-48BC-9295-DFC1A490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31955360"/>
        <c:axId val="-1331954272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'Practica-6 grafico'!$C$2:$C$9</c:f>
              <c:strCache>
                <c:ptCount val="8"/>
                <c:pt idx="0">
                  <c:v>6.142857143</c:v>
                </c:pt>
                <c:pt idx="1">
                  <c:v>16.42857143</c:v>
                </c:pt>
                <c:pt idx="2">
                  <c:v>26.71428571</c:v>
                </c:pt>
                <c:pt idx="3">
                  <c:v>37</c:v>
                </c:pt>
                <c:pt idx="4">
                  <c:v>47.28571429</c:v>
                </c:pt>
                <c:pt idx="5">
                  <c:v>57.57142857</c:v>
                </c:pt>
                <c:pt idx="6">
                  <c:v>67.85714286</c:v>
                </c:pt>
                <c:pt idx="7">
                  <c:v>y mayor...</c:v>
                </c:pt>
              </c:strCache>
            </c:strRef>
          </c:cat>
          <c:val>
            <c:numRef>
              <c:f>'Practica-6 grafico'!$G$2:$G$9</c:f>
              <c:numCache>
                <c:formatCode>0.00%</c:formatCode>
                <c:ptCount val="8"/>
                <c:pt idx="0">
                  <c:v>0.19047619047619047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0.69047619047619047</c:v>
                </c:pt>
                <c:pt idx="4">
                  <c:v>0.7857142857142857</c:v>
                </c:pt>
                <c:pt idx="5">
                  <c:v>0.88095238095238093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5-48BC-9295-DFC1A490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5933056"/>
        <c:axId val="-1331955904"/>
      </c:lineChart>
      <c:catAx>
        <c:axId val="-13319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331954272"/>
        <c:crosses val="autoZero"/>
        <c:auto val="1"/>
        <c:lblAlgn val="ctr"/>
        <c:lblOffset val="100"/>
        <c:noMultiLvlLbl val="0"/>
      </c:catAx>
      <c:valAx>
        <c:axId val="-13319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331955360"/>
        <c:crosses val="autoZero"/>
        <c:crossBetween val="between"/>
      </c:valAx>
      <c:valAx>
        <c:axId val="-13319559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85933056"/>
        <c:crosses val="max"/>
        <c:crossBetween val="between"/>
      </c:valAx>
      <c:catAx>
        <c:axId val="-108593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3195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'Practica-6 grafico'!$D$2:$D$8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A-4006-BFC3-9CAEAD43C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22163472"/>
        <c:axId val="-1022167280"/>
      </c:lineChart>
      <c:catAx>
        <c:axId val="-10221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22167280"/>
        <c:crosses val="autoZero"/>
        <c:auto val="1"/>
        <c:lblAlgn val="ctr"/>
        <c:lblOffset val="100"/>
        <c:noMultiLvlLbl val="0"/>
      </c:catAx>
      <c:valAx>
        <c:axId val="-102216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2216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2E-48B3-9FFC-DEE9474E0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2E-48B3-9FFC-DEE9474E0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B2E-48B3-9FFC-DEE9474E07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B2E-48B3-9FFC-DEE9474E07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B2E-48B3-9FFC-DEE9474E07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B2E-48B3-9FFC-DEE9474E07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B2E-48B3-9FFC-DEE9474E07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'Practica-6 grafico'!$D$2:$D$8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2E-48B3-9FFC-DEE9474E074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</a:t>
            </a:r>
            <a:r>
              <a:rPr lang="es-PE" baseline="0"/>
              <a:t> de datos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'Practica-1 grafico'!$D$2:$D$10</c:f>
              <c:numCache>
                <c:formatCode>General</c:formatCode>
                <c:ptCount val="9"/>
                <c:pt idx="0">
                  <c:v>25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19</c:v>
                </c:pt>
                <c:pt idx="6">
                  <c:v>20</c:v>
                </c:pt>
                <c:pt idx="7">
                  <c:v>10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8-4638-96AA-A1409909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31168464"/>
        <c:axId val="-1031170096"/>
        <c:axId val="0"/>
      </c:bar3DChart>
      <c:catAx>
        <c:axId val="-103116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31170096"/>
        <c:crosses val="autoZero"/>
        <c:auto val="1"/>
        <c:lblAlgn val="ctr"/>
        <c:lblOffset val="100"/>
        <c:noMultiLvlLbl val="0"/>
      </c:catAx>
      <c:valAx>
        <c:axId val="-103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3116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42-4440-A56F-7C1E0A198C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42-4440-A56F-7C1E0A198C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42-4440-A56F-7C1E0A198C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D42-4440-A56F-7C1E0A198C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D42-4440-A56F-7C1E0A198C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D42-4440-A56F-7C1E0A198C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D42-4440-A56F-7C1E0A198C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D42-4440-A56F-7C1E0A198C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D42-4440-A56F-7C1E0A198C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'Practica-1 grafico'!$D$2:$D$10</c:f>
              <c:numCache>
                <c:formatCode>General</c:formatCode>
                <c:ptCount val="9"/>
                <c:pt idx="0">
                  <c:v>25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19</c:v>
                </c:pt>
                <c:pt idx="6">
                  <c:v>20</c:v>
                </c:pt>
                <c:pt idx="7">
                  <c:v>10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D42-4440-A56F-7C1E0A198C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'Practica-2 grafico'!$C$2:$C$10</c:f>
              <c:strCache>
                <c:ptCount val="9"/>
                <c:pt idx="0">
                  <c:v>17.6875</c:v>
                </c:pt>
                <c:pt idx="1">
                  <c:v>19.0625</c:v>
                </c:pt>
                <c:pt idx="2">
                  <c:v>20.4375</c:v>
                </c:pt>
                <c:pt idx="3">
                  <c:v>21.8125</c:v>
                </c:pt>
                <c:pt idx="4">
                  <c:v>23.1875</c:v>
                </c:pt>
                <c:pt idx="5">
                  <c:v>24.5625</c:v>
                </c:pt>
                <c:pt idx="6">
                  <c:v>25.9375</c:v>
                </c:pt>
                <c:pt idx="7">
                  <c:v>27.3125</c:v>
                </c:pt>
                <c:pt idx="8">
                  <c:v>y mayor...</c:v>
                </c:pt>
              </c:strCache>
            </c:strRef>
          </c:cat>
          <c:val>
            <c:numRef>
              <c:f>'Practica-2 grafico'!$D$2:$D$10</c:f>
              <c:numCache>
                <c:formatCode>General</c:formatCode>
                <c:ptCount val="9"/>
                <c:pt idx="0">
                  <c:v>14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6-4F06-8A69-4464ECA5B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2286192"/>
        <c:axId val="-1092285104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'Practica-2 grafico'!$C$2:$C$10</c:f>
              <c:strCache>
                <c:ptCount val="9"/>
                <c:pt idx="0">
                  <c:v>17.6875</c:v>
                </c:pt>
                <c:pt idx="1">
                  <c:v>19.0625</c:v>
                </c:pt>
                <c:pt idx="2">
                  <c:v>20.4375</c:v>
                </c:pt>
                <c:pt idx="3">
                  <c:v>21.8125</c:v>
                </c:pt>
                <c:pt idx="4">
                  <c:v>23.1875</c:v>
                </c:pt>
                <c:pt idx="5">
                  <c:v>24.5625</c:v>
                </c:pt>
                <c:pt idx="6">
                  <c:v>25.9375</c:v>
                </c:pt>
                <c:pt idx="7">
                  <c:v>27.3125</c:v>
                </c:pt>
                <c:pt idx="8">
                  <c:v>y mayor...</c:v>
                </c:pt>
              </c:strCache>
            </c:strRef>
          </c:cat>
          <c:val>
            <c:numRef>
              <c:f>'Practica-2 grafico'!$G$2:$G$10</c:f>
              <c:numCache>
                <c:formatCode>0.00%</c:formatCode>
                <c:ptCount val="9"/>
                <c:pt idx="0">
                  <c:v>0.15555555555555556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0.4777777777777778</c:v>
                </c:pt>
                <c:pt idx="4">
                  <c:v>0.61111111111111116</c:v>
                </c:pt>
                <c:pt idx="5">
                  <c:v>0.71111111111111114</c:v>
                </c:pt>
                <c:pt idx="6">
                  <c:v>0.81111111111111112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6-4F06-8A69-4464ECA5B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6578288"/>
        <c:axId val="-436577744"/>
      </c:lineChart>
      <c:catAx>
        <c:axId val="-109228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92285104"/>
        <c:crosses val="autoZero"/>
        <c:auto val="1"/>
        <c:lblAlgn val="ctr"/>
        <c:lblOffset val="100"/>
        <c:noMultiLvlLbl val="0"/>
      </c:catAx>
      <c:valAx>
        <c:axId val="-10922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92286192"/>
        <c:crosses val="autoZero"/>
        <c:crossBetween val="between"/>
      </c:valAx>
      <c:valAx>
        <c:axId val="-4365777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36578288"/>
        <c:crosses val="max"/>
        <c:crossBetween val="between"/>
      </c:valAx>
      <c:catAx>
        <c:axId val="-43657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3657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'Practica-2 grafico'!$D$2:$D$9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F-4850-81E5-76FBEC3BA0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-1031167920"/>
        <c:axId val="-1031169552"/>
        <c:axId val="0"/>
      </c:bar3DChart>
      <c:catAx>
        <c:axId val="-103116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31169552"/>
        <c:crosses val="autoZero"/>
        <c:auto val="1"/>
        <c:lblAlgn val="ctr"/>
        <c:lblOffset val="100"/>
        <c:noMultiLvlLbl val="0"/>
      </c:catAx>
      <c:valAx>
        <c:axId val="-10311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3116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93-4403-8C72-066F7CEC53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93-4403-8C72-066F7CEC53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93-4403-8C72-066F7CEC53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93-4403-8C72-066F7CEC53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93-4403-8C72-066F7CEC53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793-4403-8C72-066F7CEC53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793-4403-8C72-066F7CEC53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793-4403-8C72-066F7CEC53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'Practica-2 grafico'!$D$2:$D$9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93-4403-8C72-066F7CEC53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'Practica-3 grafico'!$C$2:$C$10</c:f>
              <c:strCache>
                <c:ptCount val="9"/>
                <c:pt idx="0">
                  <c:v>12.25</c:v>
                </c:pt>
                <c:pt idx="1">
                  <c:v>20.75</c:v>
                </c:pt>
                <c:pt idx="2">
                  <c:v>29.25</c:v>
                </c:pt>
                <c:pt idx="3">
                  <c:v>37.75</c:v>
                </c:pt>
                <c:pt idx="4">
                  <c:v>46.25</c:v>
                </c:pt>
                <c:pt idx="5">
                  <c:v>54.75</c:v>
                </c:pt>
                <c:pt idx="6">
                  <c:v>63.25</c:v>
                </c:pt>
                <c:pt idx="7">
                  <c:v>71.75</c:v>
                </c:pt>
                <c:pt idx="8">
                  <c:v>y mayor...</c:v>
                </c:pt>
              </c:strCache>
            </c:strRef>
          </c:cat>
          <c:val>
            <c:numRef>
              <c:f>'Practica-3 grafico'!$D$2:$D$10</c:f>
              <c:numCache>
                <c:formatCode>General</c:formatCode>
                <c:ptCount val="9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B-4C4C-AB56-804878EEB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74886048"/>
        <c:axId val="-1674885504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'Practica-3 grafico'!$C$2:$C$10</c:f>
              <c:strCache>
                <c:ptCount val="9"/>
                <c:pt idx="0">
                  <c:v>12.25</c:v>
                </c:pt>
                <c:pt idx="1">
                  <c:v>20.75</c:v>
                </c:pt>
                <c:pt idx="2">
                  <c:v>29.25</c:v>
                </c:pt>
                <c:pt idx="3">
                  <c:v>37.75</c:v>
                </c:pt>
                <c:pt idx="4">
                  <c:v>46.25</c:v>
                </c:pt>
                <c:pt idx="5">
                  <c:v>54.75</c:v>
                </c:pt>
                <c:pt idx="6">
                  <c:v>63.25</c:v>
                </c:pt>
                <c:pt idx="7">
                  <c:v>71.75</c:v>
                </c:pt>
                <c:pt idx="8">
                  <c:v>y mayor...</c:v>
                </c:pt>
              </c:strCache>
            </c:strRef>
          </c:cat>
          <c:val>
            <c:numRef>
              <c:f>'Practica-3 grafico'!$G$2:$G$10</c:f>
              <c:numCache>
                <c:formatCode>0.00%</c:formatCode>
                <c:ptCount val="9"/>
                <c:pt idx="0">
                  <c:v>0.18888888888888888</c:v>
                </c:pt>
                <c:pt idx="1">
                  <c:v>0.34444444444444444</c:v>
                </c:pt>
                <c:pt idx="2">
                  <c:v>0.45555555555555555</c:v>
                </c:pt>
                <c:pt idx="3">
                  <c:v>0.5444444444444444</c:v>
                </c:pt>
                <c:pt idx="4">
                  <c:v>0.62222222222222223</c:v>
                </c:pt>
                <c:pt idx="5">
                  <c:v>0.73333333333333328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B-4C4C-AB56-804878EEB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4884416"/>
        <c:axId val="-1674884960"/>
      </c:lineChart>
      <c:catAx>
        <c:axId val="-16748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674885504"/>
        <c:crosses val="autoZero"/>
        <c:auto val="1"/>
        <c:lblAlgn val="ctr"/>
        <c:lblOffset val="100"/>
        <c:noMultiLvlLbl val="0"/>
      </c:catAx>
      <c:valAx>
        <c:axId val="-16748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674886048"/>
        <c:crosses val="autoZero"/>
        <c:crossBetween val="between"/>
      </c:valAx>
      <c:valAx>
        <c:axId val="-16748849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674884416"/>
        <c:crosses val="max"/>
        <c:crossBetween val="between"/>
      </c:valAx>
      <c:catAx>
        <c:axId val="-1674884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7488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'Practica-3 grafico'!$D$2:$D$9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E73-A1DF-F0401216A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1165863056"/>
        <c:axId val="-1165860336"/>
        <c:axId val="0"/>
      </c:bar3DChart>
      <c:catAx>
        <c:axId val="-11658630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165860336"/>
        <c:crosses val="autoZero"/>
        <c:auto val="1"/>
        <c:lblAlgn val="ctr"/>
        <c:lblOffset val="100"/>
        <c:noMultiLvlLbl val="0"/>
      </c:catAx>
      <c:valAx>
        <c:axId val="-11658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165863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'Practica-3 grafico'!$D$2:$D$9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3-4963-88C0-D38B0A2121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85932512"/>
        <c:axId val="-1085934144"/>
      </c:lineChart>
      <c:catAx>
        <c:axId val="-108593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85934144"/>
        <c:crosses val="autoZero"/>
        <c:auto val="1"/>
        <c:lblAlgn val="ctr"/>
        <c:lblOffset val="100"/>
        <c:noMultiLvlLbl val="0"/>
      </c:catAx>
      <c:valAx>
        <c:axId val="-108593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085932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626558</xdr:colOff>
      <xdr:row>1</xdr:row>
      <xdr:rowOff>147857</xdr:rowOff>
    </xdr:from>
    <xdr:to>
      <xdr:col>26</xdr:col>
      <xdr:colOff>35941</xdr:colOff>
      <xdr:row>16</xdr:row>
      <xdr:rowOff>39618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D87053-3D1F-8182-94EB-775F552E3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179" t="25414" r="31610" b="47725"/>
        <a:stretch/>
      </xdr:blipFill>
      <xdr:spPr>
        <a:xfrm>
          <a:off x="11445520" y="345546"/>
          <a:ext cx="7047355" cy="273128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0</xdr:row>
      <xdr:rowOff>0</xdr:rowOff>
    </xdr:from>
    <xdr:to>
      <xdr:col>16</xdr:col>
      <xdr:colOff>28575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23811</xdr:colOff>
      <xdr:row>9</xdr:row>
      <xdr:rowOff>90486</xdr:rowOff>
    </xdr:from>
    <xdr:to>
      <xdr:col>6</xdr:col>
      <xdr:colOff>504824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17</xdr:row>
      <xdr:rowOff>109537</xdr:rowOff>
    </xdr:from>
    <xdr:to>
      <xdr:col>14</xdr:col>
      <xdr:colOff>685800</xdr:colOff>
      <xdr:row>34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180975</xdr:rowOff>
    </xdr:from>
    <xdr:to>
      <xdr:col>16</xdr:col>
      <xdr:colOff>66675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12</xdr:row>
      <xdr:rowOff>80962</xdr:rowOff>
    </xdr:from>
    <xdr:to>
      <xdr:col>7</xdr:col>
      <xdr:colOff>314325</xdr:colOff>
      <xdr:row>26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500062</xdr:colOff>
      <xdr:row>22</xdr:row>
      <xdr:rowOff>80962</xdr:rowOff>
    </xdr:from>
    <xdr:to>
      <xdr:col>13</xdr:col>
      <xdr:colOff>500062</xdr:colOff>
      <xdr:row>36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180975</xdr:rowOff>
    </xdr:from>
    <xdr:to>
      <xdr:col>15</xdr:col>
      <xdr:colOff>485775</xdr:colOff>
      <xdr:row>18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10</xdr:row>
      <xdr:rowOff>119062</xdr:rowOff>
    </xdr:from>
    <xdr:to>
      <xdr:col>7</xdr:col>
      <xdr:colOff>28575</xdr:colOff>
      <xdr:row>25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481012</xdr:colOff>
      <xdr:row>20</xdr:row>
      <xdr:rowOff>166687</xdr:rowOff>
    </xdr:from>
    <xdr:to>
      <xdr:col>13</xdr:col>
      <xdr:colOff>481012</xdr:colOff>
      <xdr:row>35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180975</xdr:rowOff>
    </xdr:from>
    <xdr:to>
      <xdr:col>16</xdr:col>
      <xdr:colOff>371475</xdr:colOff>
      <xdr:row>16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12</xdr:row>
      <xdr:rowOff>128586</xdr:rowOff>
    </xdr:from>
    <xdr:to>
      <xdr:col>7</xdr:col>
      <xdr:colOff>400050</xdr:colOff>
      <xdr:row>31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463082</xdr:colOff>
      <xdr:row>17</xdr:row>
      <xdr:rowOff>180693</xdr:rowOff>
    </xdr:from>
    <xdr:to>
      <xdr:col>16</xdr:col>
      <xdr:colOff>156882</xdr:colOff>
      <xdr:row>35</xdr:row>
      <xdr:rowOff>67234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754577</xdr:colOff>
      <xdr:row>2</xdr:row>
      <xdr:rowOff>184079</xdr:rowOff>
    </xdr:from>
    <xdr:to>
      <xdr:col>14</xdr:col>
      <xdr:colOff>115945</xdr:colOff>
      <xdr:row>12</xdr:row>
      <xdr:rowOff>47125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4550C3-B8A4-F381-620E-938A52020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877" t="24133" r="42911" b="61037"/>
        <a:stretch/>
      </xdr:blipFill>
      <xdr:spPr>
        <a:xfrm>
          <a:off x="754577" y="572855"/>
          <a:ext cx="10052695" cy="20304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180974</xdr:rowOff>
    </xdr:from>
    <xdr:to>
      <xdr:col>15</xdr:col>
      <xdr:colOff>638175</xdr:colOff>
      <xdr:row>16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9</xdr:row>
      <xdr:rowOff>33337</xdr:rowOff>
    </xdr:from>
    <xdr:to>
      <xdr:col>6</xdr:col>
      <xdr:colOff>476250</xdr:colOff>
      <xdr:row>25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71437</xdr:colOff>
      <xdr:row>17</xdr:row>
      <xdr:rowOff>80962</xdr:rowOff>
    </xdr:from>
    <xdr:to>
      <xdr:col>13</xdr:col>
      <xdr:colOff>504825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742389</xdr:colOff>
      <xdr:row>3</xdr:row>
      <xdr:rowOff>23531</xdr:rowOff>
    </xdr:from>
    <xdr:to>
      <xdr:col>11</xdr:col>
      <xdr:colOff>280146</xdr:colOff>
      <xdr:row>9</xdr:row>
      <xdr:rowOff>43940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13B118-AEA6-A70B-E4CA-C546EF7120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209" t="23984" r="41498" b="62479"/>
        <a:stretch/>
      </xdr:blipFill>
      <xdr:spPr>
        <a:xfrm>
          <a:off x="742389" y="611840"/>
          <a:ext cx="7858125" cy="14332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180975</xdr:rowOff>
    </xdr:from>
    <xdr:to>
      <xdr:col>17</xdr:col>
      <xdr:colOff>219075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9</xdr:row>
      <xdr:rowOff>42862</xdr:rowOff>
    </xdr:from>
    <xdr:to>
      <xdr:col>6</xdr:col>
      <xdr:colOff>147637</xdr:colOff>
      <xdr:row>23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109536</xdr:colOff>
      <xdr:row>16</xdr:row>
      <xdr:rowOff>42862</xdr:rowOff>
    </xdr:from>
    <xdr:to>
      <xdr:col>13</xdr:col>
      <xdr:colOff>685799</xdr:colOff>
      <xdr:row>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689925</xdr:colOff>
      <xdr:row>16</xdr:row>
      <xdr:rowOff>163456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921398-6C06-4920-A175-4339754FED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35" t="43547" r="38600" b="29584"/>
        <a:stretch/>
      </xdr:blipFill>
      <xdr:spPr>
        <a:xfrm>
          <a:off x="762000" y="571500"/>
          <a:ext cx="6785925" cy="2716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23"/>
  <sheetViews>
    <sheetView zoomScale="106" zoomScaleNormal="106" workbookViewId="0">
      <selection activeCell="O5" sqref="O5:P13"/>
    </sheetView>
  </sheetViews>
  <sheetFormatPr baseColWidth="10" defaultRowHeight="15" x14ac:dyDescent="0.25"/>
  <cols>
    <col min="2" max="9" width="4.7109375" customWidth="1"/>
    <col min="11" max="11" width="28.42578125" customWidth="1"/>
    <col min="14" max="14" width="19.42578125" customWidth="1"/>
    <col min="15" max="15" width="16.42578125" customWidth="1"/>
    <col min="16" max="16" width="14.42578125" customWidth="1"/>
  </cols>
  <sheetData>
    <row r="1" spans="2:16" ht="15.75" thickBot="1" x14ac:dyDescent="0.3"/>
    <row r="2" spans="2:16" ht="15.75" thickBot="1" x14ac:dyDescent="0.3">
      <c r="B2" s="95" t="s">
        <v>0</v>
      </c>
      <c r="C2" s="96"/>
      <c r="D2" s="96"/>
      <c r="E2" s="96"/>
      <c r="F2" s="96"/>
      <c r="G2" s="96"/>
      <c r="H2" s="96"/>
      <c r="I2" s="97"/>
      <c r="K2" s="98" t="s">
        <v>1</v>
      </c>
      <c r="L2" s="99"/>
      <c r="N2" s="100" t="s">
        <v>5</v>
      </c>
      <c r="O2" s="95" t="s">
        <v>11</v>
      </c>
      <c r="P2" s="97"/>
    </row>
    <row r="3" spans="2:16" x14ac:dyDescent="0.25">
      <c r="B3" s="1">
        <v>61</v>
      </c>
      <c r="C3" s="2">
        <v>70</v>
      </c>
      <c r="D3" s="2">
        <v>64</v>
      </c>
      <c r="E3" s="2">
        <v>45</v>
      </c>
      <c r="F3" s="2">
        <v>79</v>
      </c>
      <c r="G3" s="2">
        <v>85</v>
      </c>
      <c r="H3" s="2">
        <v>97</v>
      </c>
      <c r="I3" s="3">
        <v>48</v>
      </c>
      <c r="K3" s="9" t="s">
        <v>2</v>
      </c>
      <c r="L3" s="9">
        <f>COUNT(B3:I23)</f>
        <v>168</v>
      </c>
      <c r="N3" s="101"/>
      <c r="O3" s="58" t="s">
        <v>6</v>
      </c>
      <c r="P3" s="59" t="s">
        <v>7</v>
      </c>
    </row>
    <row r="4" spans="2:16" x14ac:dyDescent="0.25">
      <c r="B4" s="4">
        <v>119</v>
      </c>
      <c r="C4">
        <v>98</v>
      </c>
      <c r="D4">
        <v>36</v>
      </c>
      <c r="E4">
        <v>79</v>
      </c>
      <c r="F4">
        <v>88</v>
      </c>
      <c r="G4">
        <v>115</v>
      </c>
      <c r="H4">
        <v>102</v>
      </c>
      <c r="I4" s="5">
        <v>36</v>
      </c>
      <c r="K4" s="9" t="s">
        <v>9</v>
      </c>
      <c r="L4" s="9">
        <f>MIN(B3:I23)</f>
        <v>30</v>
      </c>
      <c r="N4" s="9"/>
      <c r="O4" s="9"/>
      <c r="P4" s="9"/>
    </row>
    <row r="5" spans="2:16" x14ac:dyDescent="0.25">
      <c r="B5" s="4">
        <v>99</v>
      </c>
      <c r="C5">
        <v>88</v>
      </c>
      <c r="D5">
        <v>44</v>
      </c>
      <c r="E5">
        <v>118</v>
      </c>
      <c r="F5">
        <v>82</v>
      </c>
      <c r="G5">
        <v>80</v>
      </c>
      <c r="H5">
        <v>114</v>
      </c>
      <c r="I5" s="5">
        <v>120</v>
      </c>
      <c r="K5" s="9" t="s">
        <v>10</v>
      </c>
      <c r="L5" s="9">
        <f>MAX(B3:I23)</f>
        <v>120</v>
      </c>
      <c r="N5" s="9">
        <v>1</v>
      </c>
      <c r="O5" s="9">
        <f>L4</f>
        <v>30</v>
      </c>
      <c r="P5" s="9">
        <f>O5+$L$8</f>
        <v>40</v>
      </c>
    </row>
    <row r="6" spans="2:16" x14ac:dyDescent="0.25">
      <c r="B6" s="4">
        <v>52</v>
      </c>
      <c r="C6">
        <v>52</v>
      </c>
      <c r="D6">
        <v>86</v>
      </c>
      <c r="E6">
        <v>103</v>
      </c>
      <c r="F6">
        <v>112</v>
      </c>
      <c r="G6">
        <v>55</v>
      </c>
      <c r="H6">
        <v>100</v>
      </c>
      <c r="I6" s="5">
        <v>96</v>
      </c>
      <c r="K6" s="9" t="s">
        <v>3</v>
      </c>
      <c r="L6" s="9">
        <f>L5-L4</f>
        <v>90</v>
      </c>
      <c r="N6" s="9">
        <v>2</v>
      </c>
      <c r="O6" s="9">
        <f>O5+$L$8</f>
        <v>40</v>
      </c>
      <c r="P6" s="9">
        <f t="shared" ref="P6:P13" si="0">O6+$L$8</f>
        <v>50</v>
      </c>
    </row>
    <row r="7" spans="2:16" x14ac:dyDescent="0.25">
      <c r="B7" s="4">
        <v>67</v>
      </c>
      <c r="C7">
        <v>101</v>
      </c>
      <c r="D7">
        <v>93</v>
      </c>
      <c r="E7">
        <v>74</v>
      </c>
      <c r="F7">
        <v>112</v>
      </c>
      <c r="G7">
        <v>112</v>
      </c>
      <c r="H7">
        <v>64</v>
      </c>
      <c r="I7" s="5">
        <v>60</v>
      </c>
      <c r="K7" s="9" t="s">
        <v>8</v>
      </c>
      <c r="L7" s="9">
        <f>ROUNDUP(1+3.32*LOG(L3),0)</f>
        <v>9</v>
      </c>
      <c r="N7" s="9">
        <v>3</v>
      </c>
      <c r="O7" s="9">
        <f>O6+$L$8</f>
        <v>50</v>
      </c>
      <c r="P7" s="9">
        <f t="shared" si="0"/>
        <v>60</v>
      </c>
    </row>
    <row r="8" spans="2:16" x14ac:dyDescent="0.25">
      <c r="B8" s="4">
        <v>35</v>
      </c>
      <c r="C8">
        <v>82</v>
      </c>
      <c r="D8">
        <v>86</v>
      </c>
      <c r="E8">
        <v>99</v>
      </c>
      <c r="F8">
        <v>66</v>
      </c>
      <c r="G8">
        <v>73</v>
      </c>
      <c r="H8">
        <v>41</v>
      </c>
      <c r="I8" s="5">
        <v>56</v>
      </c>
      <c r="K8" s="9" t="s">
        <v>4</v>
      </c>
      <c r="L8" s="9">
        <f>L6/L7</f>
        <v>10</v>
      </c>
      <c r="N8" s="9">
        <v>4</v>
      </c>
      <c r="O8" s="9">
        <f>O7+$L$8</f>
        <v>60</v>
      </c>
      <c r="P8" s="9">
        <f t="shared" si="0"/>
        <v>70</v>
      </c>
    </row>
    <row r="9" spans="2:16" x14ac:dyDescent="0.25">
      <c r="B9" s="4">
        <v>119</v>
      </c>
      <c r="C9">
        <v>98</v>
      </c>
      <c r="D9">
        <v>108</v>
      </c>
      <c r="E9">
        <v>33</v>
      </c>
      <c r="F9">
        <v>95</v>
      </c>
      <c r="G9">
        <v>61</v>
      </c>
      <c r="H9">
        <v>98</v>
      </c>
      <c r="I9" s="5">
        <v>87</v>
      </c>
      <c r="N9" s="9">
        <v>5</v>
      </c>
      <c r="O9" s="9">
        <f t="shared" ref="O9:O13" si="1">O8+$L$8</f>
        <v>70</v>
      </c>
      <c r="P9" s="9">
        <f t="shared" si="0"/>
        <v>80</v>
      </c>
    </row>
    <row r="10" spans="2:16" x14ac:dyDescent="0.25">
      <c r="B10" s="4">
        <v>50</v>
      </c>
      <c r="C10">
        <v>75</v>
      </c>
      <c r="D10">
        <v>114</v>
      </c>
      <c r="E10">
        <v>30</v>
      </c>
      <c r="F10">
        <v>33</v>
      </c>
      <c r="G10">
        <v>80</v>
      </c>
      <c r="H10">
        <v>85</v>
      </c>
      <c r="I10" s="5">
        <v>57</v>
      </c>
      <c r="N10" s="9">
        <v>6</v>
      </c>
      <c r="O10" s="9">
        <f t="shared" si="1"/>
        <v>80</v>
      </c>
      <c r="P10" s="9">
        <f t="shared" si="0"/>
        <v>90</v>
      </c>
    </row>
    <row r="11" spans="2:16" x14ac:dyDescent="0.25">
      <c r="B11" s="4">
        <v>64</v>
      </c>
      <c r="C11">
        <v>90</v>
      </c>
      <c r="D11">
        <v>32</v>
      </c>
      <c r="E11">
        <v>84</v>
      </c>
      <c r="F11">
        <v>49</v>
      </c>
      <c r="G11">
        <v>95</v>
      </c>
      <c r="H11">
        <v>55</v>
      </c>
      <c r="I11" s="5">
        <v>75</v>
      </c>
      <c r="N11" s="9">
        <v>7</v>
      </c>
      <c r="O11" s="9">
        <f t="shared" si="1"/>
        <v>90</v>
      </c>
      <c r="P11" s="9">
        <f t="shared" si="0"/>
        <v>100</v>
      </c>
    </row>
    <row r="12" spans="2:16" x14ac:dyDescent="0.25">
      <c r="B12" s="4">
        <v>105</v>
      </c>
      <c r="C12">
        <v>34</v>
      </c>
      <c r="D12">
        <v>35</v>
      </c>
      <c r="E12">
        <v>30</v>
      </c>
      <c r="F12">
        <v>115</v>
      </c>
      <c r="G12">
        <v>44</v>
      </c>
      <c r="H12">
        <v>79</v>
      </c>
      <c r="I12" s="5">
        <v>51</v>
      </c>
      <c r="N12" s="9">
        <v>8</v>
      </c>
      <c r="O12" s="9">
        <f t="shared" si="1"/>
        <v>100</v>
      </c>
      <c r="P12" s="9">
        <f t="shared" si="0"/>
        <v>110</v>
      </c>
    </row>
    <row r="13" spans="2:16" x14ac:dyDescent="0.25">
      <c r="B13" s="4">
        <v>62</v>
      </c>
      <c r="C13">
        <v>117</v>
      </c>
      <c r="D13">
        <v>119</v>
      </c>
      <c r="E13">
        <v>77</v>
      </c>
      <c r="F13">
        <v>79</v>
      </c>
      <c r="G13">
        <v>44</v>
      </c>
      <c r="H13">
        <v>54</v>
      </c>
      <c r="I13" s="5">
        <v>82</v>
      </c>
      <c r="N13" s="9">
        <v>9</v>
      </c>
      <c r="O13" s="9">
        <f t="shared" si="1"/>
        <v>110</v>
      </c>
      <c r="P13" s="9">
        <f t="shared" si="0"/>
        <v>120</v>
      </c>
    </row>
    <row r="14" spans="2:16" x14ac:dyDescent="0.25">
      <c r="B14" s="4">
        <v>117</v>
      </c>
      <c r="C14">
        <v>60</v>
      </c>
      <c r="D14">
        <v>86</v>
      </c>
      <c r="E14">
        <v>78</v>
      </c>
      <c r="F14">
        <v>32</v>
      </c>
      <c r="G14">
        <v>49</v>
      </c>
      <c r="H14">
        <v>63</v>
      </c>
      <c r="I14" s="5">
        <v>38</v>
      </c>
    </row>
    <row r="15" spans="2:16" x14ac:dyDescent="0.25">
      <c r="B15" s="4">
        <v>81</v>
      </c>
      <c r="C15">
        <v>66</v>
      </c>
      <c r="D15">
        <v>94</v>
      </c>
      <c r="E15">
        <v>31</v>
      </c>
      <c r="F15">
        <v>77</v>
      </c>
      <c r="G15">
        <v>32</v>
      </c>
      <c r="H15">
        <v>52</v>
      </c>
      <c r="I15" s="5">
        <v>69</v>
      </c>
    </row>
    <row r="16" spans="2:16" x14ac:dyDescent="0.25">
      <c r="B16" s="4">
        <v>61</v>
      </c>
      <c r="C16">
        <v>97</v>
      </c>
      <c r="D16">
        <v>54</v>
      </c>
      <c r="E16">
        <v>36</v>
      </c>
      <c r="F16">
        <v>87</v>
      </c>
      <c r="G16">
        <v>34</v>
      </c>
      <c r="H16">
        <v>112</v>
      </c>
      <c r="I16" s="5">
        <v>105</v>
      </c>
    </row>
    <row r="17" spans="2:9" x14ac:dyDescent="0.25">
      <c r="B17" s="4">
        <v>89</v>
      </c>
      <c r="C17">
        <v>39</v>
      </c>
      <c r="D17">
        <v>95</v>
      </c>
      <c r="E17">
        <v>48</v>
      </c>
      <c r="F17">
        <v>90</v>
      </c>
      <c r="G17">
        <v>39</v>
      </c>
      <c r="H17">
        <v>120</v>
      </c>
      <c r="I17" s="5">
        <v>30</v>
      </c>
    </row>
    <row r="18" spans="2:9" x14ac:dyDescent="0.25">
      <c r="B18" s="4">
        <v>92</v>
      </c>
      <c r="C18">
        <v>58</v>
      </c>
      <c r="D18">
        <v>102</v>
      </c>
      <c r="E18">
        <v>99</v>
      </c>
      <c r="F18">
        <v>46</v>
      </c>
      <c r="G18">
        <v>113</v>
      </c>
      <c r="H18">
        <v>94</v>
      </c>
      <c r="I18" s="5">
        <v>90</v>
      </c>
    </row>
    <row r="19" spans="2:9" x14ac:dyDescent="0.25">
      <c r="B19" s="4">
        <v>80</v>
      </c>
      <c r="C19">
        <v>94</v>
      </c>
      <c r="D19">
        <v>36</v>
      </c>
      <c r="E19">
        <v>71</v>
      </c>
      <c r="F19">
        <v>63</v>
      </c>
      <c r="G19">
        <v>45</v>
      </c>
      <c r="H19">
        <v>40</v>
      </c>
      <c r="I19" s="5">
        <v>62</v>
      </c>
    </row>
    <row r="20" spans="2:9" x14ac:dyDescent="0.25">
      <c r="B20" s="4">
        <v>74</v>
      </c>
      <c r="C20">
        <v>32</v>
      </c>
      <c r="D20">
        <v>107</v>
      </c>
      <c r="E20">
        <v>49</v>
      </c>
      <c r="F20">
        <v>45</v>
      </c>
      <c r="G20">
        <v>86</v>
      </c>
      <c r="H20">
        <v>114</v>
      </c>
      <c r="I20" s="5">
        <v>49</v>
      </c>
    </row>
    <row r="21" spans="2:9" x14ac:dyDescent="0.25">
      <c r="B21" s="4">
        <v>63</v>
      </c>
      <c r="C21">
        <v>39</v>
      </c>
      <c r="D21">
        <v>53</v>
      </c>
      <c r="E21">
        <v>39</v>
      </c>
      <c r="F21">
        <v>76</v>
      </c>
      <c r="G21">
        <v>74</v>
      </c>
      <c r="H21">
        <v>104</v>
      </c>
      <c r="I21" s="5">
        <v>64</v>
      </c>
    </row>
    <row r="22" spans="2:9" x14ac:dyDescent="0.25">
      <c r="B22" s="4">
        <v>60</v>
      </c>
      <c r="C22">
        <v>77</v>
      </c>
      <c r="D22">
        <v>47</v>
      </c>
      <c r="E22">
        <v>45</v>
      </c>
      <c r="F22">
        <v>105</v>
      </c>
      <c r="G22">
        <v>77</v>
      </c>
      <c r="H22">
        <v>76</v>
      </c>
      <c r="I22" s="5">
        <v>79</v>
      </c>
    </row>
    <row r="23" spans="2:9" ht="15.75" thickBot="1" x14ac:dyDescent="0.3">
      <c r="B23" s="6">
        <v>63</v>
      </c>
      <c r="C23" s="7">
        <v>78</v>
      </c>
      <c r="D23" s="7">
        <v>98</v>
      </c>
      <c r="E23" s="7">
        <v>112</v>
      </c>
      <c r="F23" s="7">
        <v>61</v>
      </c>
      <c r="G23" s="7">
        <v>38</v>
      </c>
      <c r="H23" s="7">
        <v>91</v>
      </c>
      <c r="I23" s="8">
        <v>48</v>
      </c>
    </row>
  </sheetData>
  <mergeCells count="4">
    <mergeCell ref="B2:I2"/>
    <mergeCell ref="K2:L2"/>
    <mergeCell ref="O2:P2"/>
    <mergeCell ref="N2:N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"/>
  <sheetViews>
    <sheetView tabSelected="1" topLeftCell="A16" workbookViewId="0">
      <selection activeCell="G12" sqref="G12"/>
    </sheetView>
  </sheetViews>
  <sheetFormatPr baseColWidth="10" defaultRowHeight="15" x14ac:dyDescent="0.25"/>
  <sheetData>
    <row r="1" spans="1:7" s="66" customFormat="1" ht="45.75" thickBot="1" x14ac:dyDescent="0.3">
      <c r="A1" s="108" t="s">
        <v>11</v>
      </c>
      <c r="B1" s="108"/>
      <c r="C1" s="93" t="s">
        <v>25</v>
      </c>
      <c r="D1" s="93" t="s">
        <v>27</v>
      </c>
      <c r="E1" s="93" t="s">
        <v>29</v>
      </c>
      <c r="F1" s="93" t="s">
        <v>30</v>
      </c>
      <c r="G1" s="93" t="s">
        <v>28</v>
      </c>
    </row>
    <row r="2" spans="1:7" x14ac:dyDescent="0.25">
      <c r="A2" s="27">
        <v>2.1333333333333333</v>
      </c>
      <c r="B2" s="27">
        <v>1.9666666666666668</v>
      </c>
      <c r="C2" s="27">
        <v>2.1333333333333333</v>
      </c>
      <c r="D2" s="27">
        <v>2</v>
      </c>
      <c r="E2" s="27">
        <f>D2</f>
        <v>2</v>
      </c>
      <c r="F2" s="87">
        <f>E2/$E$7</f>
        <v>0.1</v>
      </c>
      <c r="G2" s="88">
        <v>0.1</v>
      </c>
    </row>
    <row r="3" spans="1:7" x14ac:dyDescent="0.25">
      <c r="A3" s="24">
        <v>2.4666666666666668</v>
      </c>
      <c r="B3" s="24">
        <v>2.2999999999999998</v>
      </c>
      <c r="C3" s="24">
        <v>2.4666666666666668</v>
      </c>
      <c r="D3" s="24">
        <v>2</v>
      </c>
      <c r="E3" s="24">
        <f>E2+D3</f>
        <v>4</v>
      </c>
      <c r="F3" s="89">
        <f t="shared" ref="F3:F7" si="0">E3/$E$7</f>
        <v>0.2</v>
      </c>
      <c r="G3" s="90">
        <v>0.2</v>
      </c>
    </row>
    <row r="4" spans="1:7" x14ac:dyDescent="0.25">
      <c r="A4" s="24">
        <v>2.8000000000000003</v>
      </c>
      <c r="B4" s="24">
        <v>2.6333333333333337</v>
      </c>
      <c r="C4" s="24">
        <v>2.8000000000000003</v>
      </c>
      <c r="D4" s="24">
        <v>5</v>
      </c>
      <c r="E4" s="24">
        <f t="shared" ref="E4:E7" si="1">E3+D4</f>
        <v>9</v>
      </c>
      <c r="F4" s="89">
        <f t="shared" si="0"/>
        <v>0.45</v>
      </c>
      <c r="G4" s="90">
        <v>0.45</v>
      </c>
    </row>
    <row r="5" spans="1:7" x14ac:dyDescent="0.25">
      <c r="A5" s="24">
        <v>3.1333333333333337</v>
      </c>
      <c r="B5" s="24">
        <v>2.9666666666666668</v>
      </c>
      <c r="C5" s="24">
        <v>3.1333333333333337</v>
      </c>
      <c r="D5" s="24">
        <v>5</v>
      </c>
      <c r="E5" s="24">
        <f t="shared" si="1"/>
        <v>14</v>
      </c>
      <c r="F5" s="89">
        <f t="shared" si="0"/>
        <v>0.7</v>
      </c>
      <c r="G5" s="90">
        <v>0.7</v>
      </c>
    </row>
    <row r="6" spans="1:7" x14ac:dyDescent="0.25">
      <c r="A6" s="24">
        <v>3.4666666666666672</v>
      </c>
      <c r="B6" s="24">
        <v>3.3000000000000007</v>
      </c>
      <c r="C6" s="24">
        <v>3.4666666666666672</v>
      </c>
      <c r="D6" s="24">
        <v>2</v>
      </c>
      <c r="E6" s="24">
        <f t="shared" si="1"/>
        <v>16</v>
      </c>
      <c r="F6" s="89">
        <f t="shared" si="0"/>
        <v>0.8</v>
      </c>
      <c r="G6" s="90">
        <v>0.8</v>
      </c>
    </row>
    <row r="7" spans="1:7" ht="15.75" thickBot="1" x14ac:dyDescent="0.3">
      <c r="A7" s="25">
        <v>3.8000000000000007</v>
      </c>
      <c r="B7" s="25">
        <v>3.6333333333333337</v>
      </c>
      <c r="C7" s="25">
        <v>3.8000000000000007</v>
      </c>
      <c r="D7" s="25">
        <v>4</v>
      </c>
      <c r="E7" s="25">
        <f t="shared" si="1"/>
        <v>20</v>
      </c>
      <c r="F7" s="91">
        <f t="shared" si="0"/>
        <v>1</v>
      </c>
      <c r="G7" s="92">
        <v>1</v>
      </c>
    </row>
    <row r="8" spans="1:7" ht="15.75" thickBot="1" x14ac:dyDescent="0.3">
      <c r="C8" s="7" t="s">
        <v>26</v>
      </c>
      <c r="D8" s="7">
        <v>0</v>
      </c>
      <c r="E8" s="7"/>
      <c r="F8" s="7"/>
      <c r="G8" s="62">
        <v>1</v>
      </c>
    </row>
  </sheetData>
  <sortState xmlns:xlrd2="http://schemas.microsoft.com/office/spreadsheetml/2017/richdata2" ref="C2:C7">
    <sortCondition ref="C2"/>
  </sortState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30"/>
  <sheetViews>
    <sheetView workbookViewId="0">
      <selection activeCell="A23" sqref="A23:B29"/>
    </sheetView>
  </sheetViews>
  <sheetFormatPr baseColWidth="10" defaultRowHeight="15" x14ac:dyDescent="0.25"/>
  <cols>
    <col min="12" max="12" width="13.28515625" bestFit="1" customWidth="1"/>
  </cols>
  <sheetData>
    <row r="2" spans="2:18" x14ac:dyDescent="0.25">
      <c r="B2" s="10" t="s">
        <v>12</v>
      </c>
    </row>
    <row r="4" spans="2:18" ht="15.75" thickBot="1" x14ac:dyDescent="0.3"/>
    <row r="5" spans="2:18" ht="15.75" thickBot="1" x14ac:dyDescent="0.3">
      <c r="L5" s="49">
        <v>15</v>
      </c>
      <c r="M5" s="50">
        <v>73</v>
      </c>
      <c r="N5" s="51">
        <v>1</v>
      </c>
      <c r="O5" s="51">
        <v>65</v>
      </c>
      <c r="P5" s="50">
        <v>16</v>
      </c>
      <c r="Q5" s="51">
        <v>3</v>
      </c>
      <c r="R5" s="52">
        <v>42</v>
      </c>
    </row>
    <row r="6" spans="2:18" ht="15.75" thickBot="1" x14ac:dyDescent="0.3">
      <c r="L6" s="51">
        <v>36</v>
      </c>
      <c r="M6" s="51">
        <v>42</v>
      </c>
      <c r="N6" s="51">
        <v>3</v>
      </c>
      <c r="O6" s="51">
        <v>61</v>
      </c>
      <c r="P6" s="51">
        <v>19</v>
      </c>
      <c r="Q6" s="53">
        <v>36</v>
      </c>
      <c r="R6" s="51">
        <v>47</v>
      </c>
    </row>
    <row r="7" spans="2:18" ht="15.75" thickBot="1" x14ac:dyDescent="0.3">
      <c r="L7" s="51">
        <v>30</v>
      </c>
      <c r="M7" s="51">
        <v>45</v>
      </c>
      <c r="N7" s="51">
        <v>29</v>
      </c>
      <c r="O7" s="51">
        <v>73</v>
      </c>
      <c r="P7" s="53">
        <v>69</v>
      </c>
      <c r="Q7" s="51">
        <v>34</v>
      </c>
      <c r="R7" s="54">
        <v>23</v>
      </c>
    </row>
    <row r="8" spans="2:18" ht="15.75" thickBot="1" x14ac:dyDescent="0.3">
      <c r="L8" s="55">
        <v>22</v>
      </c>
      <c r="M8" s="51">
        <v>21</v>
      </c>
      <c r="N8" s="51">
        <v>33</v>
      </c>
      <c r="O8" s="51">
        <v>27</v>
      </c>
      <c r="P8" s="51">
        <v>55</v>
      </c>
      <c r="Q8" s="53">
        <v>58</v>
      </c>
      <c r="R8" s="51">
        <v>17</v>
      </c>
    </row>
    <row r="9" spans="2:18" ht="15.75" thickBot="1" x14ac:dyDescent="0.3">
      <c r="L9" s="51">
        <v>4</v>
      </c>
      <c r="M9" s="51">
        <v>17</v>
      </c>
      <c r="N9" s="51">
        <v>48</v>
      </c>
      <c r="O9" s="51">
        <v>25</v>
      </c>
      <c r="P9" s="53">
        <v>36</v>
      </c>
      <c r="Q9" s="51">
        <v>11</v>
      </c>
      <c r="R9" s="54">
        <v>4</v>
      </c>
    </row>
    <row r="10" spans="2:18" ht="15.75" thickBot="1" x14ac:dyDescent="0.3">
      <c r="L10" s="56">
        <v>54</v>
      </c>
      <c r="M10" s="51">
        <v>70</v>
      </c>
      <c r="N10" s="51">
        <v>51</v>
      </c>
      <c r="O10" s="51">
        <v>3</v>
      </c>
      <c r="P10" s="51">
        <v>34</v>
      </c>
      <c r="Q10" s="57">
        <v>26</v>
      </c>
      <c r="R10" s="51">
        <v>10</v>
      </c>
    </row>
    <row r="15" spans="2:18" ht="15.75" thickBot="1" x14ac:dyDescent="0.3"/>
    <row r="16" spans="2:18" x14ac:dyDescent="0.25">
      <c r="L16" s="37" t="s">
        <v>20</v>
      </c>
      <c r="M16" s="27">
        <f>MAX(L5:R10)</f>
        <v>73</v>
      </c>
    </row>
    <row r="17" spans="1:13" x14ac:dyDescent="0.25">
      <c r="L17" s="38" t="s">
        <v>21</v>
      </c>
      <c r="M17" s="24">
        <f>MIN(L5:R10)</f>
        <v>1</v>
      </c>
    </row>
    <row r="18" spans="1:13" x14ac:dyDescent="0.25">
      <c r="L18" s="38" t="s">
        <v>3</v>
      </c>
      <c r="M18" s="24">
        <f>M16-M17</f>
        <v>72</v>
      </c>
    </row>
    <row r="19" spans="1:13" x14ac:dyDescent="0.25">
      <c r="L19" s="38" t="s">
        <v>22</v>
      </c>
      <c r="M19" s="24">
        <f>COUNT(L5:R10)</f>
        <v>42</v>
      </c>
    </row>
    <row r="20" spans="1:13" ht="15.75" thickBot="1" x14ac:dyDescent="0.3">
      <c r="L20" s="38" t="s">
        <v>23</v>
      </c>
      <c r="M20" s="24">
        <f>ROUNDUP(1+3.322*LOG(M19),0)</f>
        <v>7</v>
      </c>
    </row>
    <row r="21" spans="1:13" ht="60.75" thickBot="1" x14ac:dyDescent="0.3">
      <c r="A21" s="60" t="s">
        <v>18</v>
      </c>
      <c r="B21" s="21" t="s">
        <v>19</v>
      </c>
      <c r="C21" s="21" t="s">
        <v>13</v>
      </c>
      <c r="D21" s="21" t="s">
        <v>14</v>
      </c>
      <c r="E21" s="21" t="s">
        <v>15</v>
      </c>
      <c r="F21" s="104" t="s">
        <v>16</v>
      </c>
      <c r="G21" s="104"/>
      <c r="H21" s="104" t="s">
        <v>17</v>
      </c>
      <c r="I21" s="104"/>
      <c r="L21" s="39" t="s">
        <v>11</v>
      </c>
      <c r="M21" s="25">
        <f>M18/M20</f>
        <v>10.285714285714286</v>
      </c>
    </row>
    <row r="22" spans="1:13" ht="15.75" thickBot="1" x14ac:dyDescent="0.3">
      <c r="A22" s="82"/>
      <c r="B22" s="64"/>
      <c r="C22" s="65"/>
      <c r="D22" s="65"/>
      <c r="E22" s="81"/>
      <c r="F22" s="65"/>
      <c r="G22" s="65"/>
      <c r="H22" s="65"/>
      <c r="I22" s="65"/>
      <c r="L22" s="83"/>
      <c r="M22" s="26"/>
    </row>
    <row r="23" spans="1:13" x14ac:dyDescent="0.25">
      <c r="A23" s="61">
        <f>M17</f>
        <v>1</v>
      </c>
      <c r="B23" s="41">
        <f>A23+$M$21</f>
        <v>11.285714285714286</v>
      </c>
      <c r="C23" s="22">
        <f>(A23+B23)/2</f>
        <v>6.1428571428571432</v>
      </c>
      <c r="D23" s="22">
        <f>COUNTIFS(L5:R10,"&gt;=1",L5:R10,"&lt;11.28571429")</f>
        <v>8</v>
      </c>
      <c r="E23" s="36">
        <f>D23</f>
        <v>8</v>
      </c>
      <c r="F23" s="22">
        <f t="shared" ref="F23:F29" si="0">D23/$D$30</f>
        <v>0.19047619047619047</v>
      </c>
      <c r="G23" s="29">
        <f>F23*1</f>
        <v>0.19047619047619047</v>
      </c>
      <c r="H23" s="22">
        <f>F23</f>
        <v>0.19047619047619047</v>
      </c>
      <c r="I23" s="29">
        <f>H23*1</f>
        <v>0.19047619047619047</v>
      </c>
    </row>
    <row r="24" spans="1:13" x14ac:dyDescent="0.25">
      <c r="A24" s="61">
        <f t="shared" ref="A24:A29" si="1">B23</f>
        <v>11.285714285714286</v>
      </c>
      <c r="B24" s="41">
        <f t="shared" ref="B24:B29" si="2">A24+$M$21</f>
        <v>21.571428571428573</v>
      </c>
      <c r="C24" s="22">
        <f t="shared" ref="C24:C29" si="3">(A24+B24)/2</f>
        <v>16.428571428571431</v>
      </c>
      <c r="D24" s="22">
        <f>COUNTIFS(L5:R10,"&gt;=11.28571429",L5:R10,"&lt;21.57142857")</f>
        <v>6</v>
      </c>
      <c r="E24" s="23">
        <f>E23+D24</f>
        <v>14</v>
      </c>
      <c r="F24" s="22">
        <f t="shared" si="0"/>
        <v>0.14285714285714285</v>
      </c>
      <c r="G24" s="29">
        <f t="shared" ref="G24:G29" si="4">F24*1</f>
        <v>0.14285714285714285</v>
      </c>
      <c r="H24" s="22">
        <f>F24+H23</f>
        <v>0.33333333333333331</v>
      </c>
      <c r="I24" s="29">
        <f t="shared" ref="I24:I29" si="5">H24*1</f>
        <v>0.33333333333333331</v>
      </c>
    </row>
    <row r="25" spans="1:13" x14ac:dyDescent="0.25">
      <c r="A25" s="61">
        <f t="shared" si="1"/>
        <v>21.571428571428573</v>
      </c>
      <c r="B25" s="41">
        <f t="shared" si="2"/>
        <v>31.857142857142861</v>
      </c>
      <c r="C25" s="22">
        <f t="shared" si="3"/>
        <v>26.714285714285715</v>
      </c>
      <c r="D25" s="22">
        <f>COUNTIFS(L5:R10,"&gt;=21.57142857",L5:R10,"&lt;31.85714286")</f>
        <v>7</v>
      </c>
      <c r="E25" s="23">
        <f>E24+D25</f>
        <v>21</v>
      </c>
      <c r="F25" s="22">
        <f t="shared" si="0"/>
        <v>0.16666666666666666</v>
      </c>
      <c r="G25" s="29">
        <f t="shared" si="4"/>
        <v>0.16666666666666666</v>
      </c>
      <c r="H25" s="22">
        <f>F25+H24</f>
        <v>0.5</v>
      </c>
      <c r="I25" s="29">
        <f t="shared" si="5"/>
        <v>0.5</v>
      </c>
    </row>
    <row r="26" spans="1:13" x14ac:dyDescent="0.25">
      <c r="A26" s="61">
        <f t="shared" si="1"/>
        <v>31.857142857142861</v>
      </c>
      <c r="B26" s="41">
        <f t="shared" si="2"/>
        <v>42.142857142857146</v>
      </c>
      <c r="C26" s="22">
        <f t="shared" si="3"/>
        <v>37</v>
      </c>
      <c r="D26" s="22">
        <f>COUNTIFS($L$5:$R$10,"&gt;=31.85714286",$L$5:$R$10,"&lt;42.14285714")</f>
        <v>8</v>
      </c>
      <c r="E26" s="23">
        <f>E25+D26</f>
        <v>29</v>
      </c>
      <c r="F26" s="22">
        <f t="shared" si="0"/>
        <v>0.19047619047619047</v>
      </c>
      <c r="G26" s="29">
        <f t="shared" si="4"/>
        <v>0.19047619047619047</v>
      </c>
      <c r="H26" s="22">
        <f t="shared" ref="H26:H29" si="6">F26+H25</f>
        <v>0.69047619047619047</v>
      </c>
      <c r="I26" s="29">
        <f t="shared" si="5"/>
        <v>0.69047619047619047</v>
      </c>
    </row>
    <row r="27" spans="1:13" x14ac:dyDescent="0.25">
      <c r="A27" s="61">
        <f t="shared" si="1"/>
        <v>42.142857142857146</v>
      </c>
      <c r="B27" s="41">
        <f t="shared" si="2"/>
        <v>52.428571428571431</v>
      </c>
      <c r="C27" s="22">
        <f t="shared" si="3"/>
        <v>47.285714285714292</v>
      </c>
      <c r="D27" s="22">
        <f>COUNTIFS($L$5:$R$10,"&gt;=42.14285714",$L$5:$R$10,"&lt;52.42857143")</f>
        <v>4</v>
      </c>
      <c r="E27" s="23">
        <f t="shared" ref="E27:E28" si="7">E26+D27</f>
        <v>33</v>
      </c>
      <c r="F27" s="22">
        <f t="shared" si="0"/>
        <v>9.5238095238095233E-2</v>
      </c>
      <c r="G27" s="29">
        <f t="shared" si="4"/>
        <v>9.5238095238095233E-2</v>
      </c>
      <c r="H27" s="22">
        <f t="shared" si="6"/>
        <v>0.7857142857142857</v>
      </c>
      <c r="I27" s="29">
        <f t="shared" si="5"/>
        <v>0.7857142857142857</v>
      </c>
    </row>
    <row r="28" spans="1:13" x14ac:dyDescent="0.25">
      <c r="A28" s="61">
        <f t="shared" si="1"/>
        <v>52.428571428571431</v>
      </c>
      <c r="B28" s="41">
        <f t="shared" si="2"/>
        <v>62.714285714285715</v>
      </c>
      <c r="C28" s="22">
        <f t="shared" si="3"/>
        <v>57.571428571428569</v>
      </c>
      <c r="D28" s="22">
        <f>COUNTIFS($L$5:$R$10,"&gt;=52.42857143",$L$5:$R$10,"&lt;62.71428571")</f>
        <v>4</v>
      </c>
      <c r="E28" s="23">
        <f t="shared" si="7"/>
        <v>37</v>
      </c>
      <c r="F28" s="22">
        <f t="shared" si="0"/>
        <v>9.5238095238095233E-2</v>
      </c>
      <c r="G28" s="29">
        <f t="shared" si="4"/>
        <v>9.5238095238095233E-2</v>
      </c>
      <c r="H28" s="22">
        <f t="shared" si="6"/>
        <v>0.88095238095238093</v>
      </c>
      <c r="I28" s="29">
        <f t="shared" si="5"/>
        <v>0.88095238095238093</v>
      </c>
    </row>
    <row r="29" spans="1:13" ht="15.75" thickBot="1" x14ac:dyDescent="0.3">
      <c r="A29" s="61">
        <f t="shared" si="1"/>
        <v>62.714285714285715</v>
      </c>
      <c r="B29" s="41">
        <f t="shared" si="2"/>
        <v>73</v>
      </c>
      <c r="C29" s="28">
        <f t="shared" si="3"/>
        <v>67.857142857142861</v>
      </c>
      <c r="D29" s="28">
        <f>COUNTIFS($L$5:$R$10,"&gt;=62.71428571",$L$5:$R$10,"&lt;=73")</f>
        <v>5</v>
      </c>
      <c r="E29" s="20">
        <f>D29</f>
        <v>5</v>
      </c>
      <c r="F29" s="28">
        <f t="shared" si="0"/>
        <v>0.11904761904761904</v>
      </c>
      <c r="G29" s="30">
        <f t="shared" si="4"/>
        <v>0.11904761904761904</v>
      </c>
      <c r="H29" s="22">
        <f t="shared" si="6"/>
        <v>1</v>
      </c>
      <c r="I29" s="29">
        <f t="shared" si="5"/>
        <v>1</v>
      </c>
    </row>
    <row r="30" spans="1:13" ht="15.75" thickBot="1" x14ac:dyDescent="0.3">
      <c r="A30" s="26"/>
      <c r="B30" s="26"/>
      <c r="C30" s="31" t="s">
        <v>24</v>
      </c>
      <c r="D30" s="33">
        <f>SUM(D23:D29)</f>
        <v>42</v>
      </c>
      <c r="E30" s="26"/>
      <c r="F30" s="33">
        <f>SUM(F23:F29)</f>
        <v>1</v>
      </c>
      <c r="G30" s="34">
        <f>SUM(G23:G29)</f>
        <v>1</v>
      </c>
      <c r="H30" s="26"/>
      <c r="I30" s="26"/>
    </row>
  </sheetData>
  <mergeCells count="2">
    <mergeCell ref="F21:G21"/>
    <mergeCell ref="H21:I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"/>
  <sheetViews>
    <sheetView zoomScale="96" zoomScaleNormal="96" workbookViewId="0">
      <selection activeCell="H14" sqref="H14"/>
    </sheetView>
  </sheetViews>
  <sheetFormatPr baseColWidth="10" defaultRowHeight="15" x14ac:dyDescent="0.25"/>
  <sheetData>
    <row r="1" spans="1:7" s="66" customFormat="1" ht="45.75" thickBot="1" x14ac:dyDescent="0.3">
      <c r="A1" s="109" t="s">
        <v>11</v>
      </c>
      <c r="B1" s="109"/>
      <c r="C1" s="84" t="s">
        <v>31</v>
      </c>
      <c r="D1" s="84" t="s">
        <v>27</v>
      </c>
      <c r="E1" s="84" t="s">
        <v>29</v>
      </c>
      <c r="F1" s="84" t="s">
        <v>30</v>
      </c>
      <c r="G1" s="84" t="s">
        <v>28</v>
      </c>
    </row>
    <row r="2" spans="1:7" x14ac:dyDescent="0.25">
      <c r="A2" s="27">
        <v>1</v>
      </c>
      <c r="B2" s="27">
        <v>11.285714285714286</v>
      </c>
      <c r="C2" s="27">
        <f>(A2+B2)/2</f>
        <v>6.1428571428571432</v>
      </c>
      <c r="D2" s="27">
        <v>8</v>
      </c>
      <c r="E2" s="27">
        <f>D2</f>
        <v>8</v>
      </c>
      <c r="F2" s="87">
        <f>E2/$E$8</f>
        <v>0.19047619047619047</v>
      </c>
      <c r="G2" s="88">
        <v>0.19047619047619047</v>
      </c>
    </row>
    <row r="3" spans="1:7" x14ac:dyDescent="0.25">
      <c r="A3" s="24">
        <v>11.285714285714286</v>
      </c>
      <c r="B3" s="24">
        <v>21.571428571428573</v>
      </c>
      <c r="C3" s="24">
        <f t="shared" ref="C3:C8" si="0">(A3+B3)/2</f>
        <v>16.428571428571431</v>
      </c>
      <c r="D3" s="24">
        <v>6</v>
      </c>
      <c r="E3" s="24">
        <f>E2+D3</f>
        <v>14</v>
      </c>
      <c r="F3" s="89">
        <f t="shared" ref="F3:F8" si="1">E3/$E$8</f>
        <v>0.33333333333333331</v>
      </c>
      <c r="G3" s="90">
        <v>0.33333333333333331</v>
      </c>
    </row>
    <row r="4" spans="1:7" x14ac:dyDescent="0.25">
      <c r="A4" s="24">
        <v>21.571428571428573</v>
      </c>
      <c r="B4" s="24">
        <v>31.857142857142861</v>
      </c>
      <c r="C4" s="24">
        <f t="shared" si="0"/>
        <v>26.714285714285715</v>
      </c>
      <c r="D4" s="24">
        <v>7</v>
      </c>
      <c r="E4" s="24">
        <f t="shared" ref="E4:E8" si="2">E3+D4</f>
        <v>21</v>
      </c>
      <c r="F4" s="89">
        <f t="shared" si="1"/>
        <v>0.5</v>
      </c>
      <c r="G4" s="90">
        <v>0.5</v>
      </c>
    </row>
    <row r="5" spans="1:7" x14ac:dyDescent="0.25">
      <c r="A5" s="24">
        <v>31.857142857142861</v>
      </c>
      <c r="B5" s="24">
        <v>42.142857142857146</v>
      </c>
      <c r="C5" s="24">
        <f t="shared" si="0"/>
        <v>37</v>
      </c>
      <c r="D5" s="24">
        <v>8</v>
      </c>
      <c r="E5" s="24">
        <f t="shared" si="2"/>
        <v>29</v>
      </c>
      <c r="F5" s="89">
        <f t="shared" si="1"/>
        <v>0.69047619047619047</v>
      </c>
      <c r="G5" s="90">
        <v>0.69047619047619047</v>
      </c>
    </row>
    <row r="6" spans="1:7" x14ac:dyDescent="0.25">
      <c r="A6" s="24">
        <v>42.142857142857146</v>
      </c>
      <c r="B6" s="24">
        <v>52.428571428571431</v>
      </c>
      <c r="C6" s="24">
        <f t="shared" si="0"/>
        <v>47.285714285714292</v>
      </c>
      <c r="D6" s="24">
        <v>4</v>
      </c>
      <c r="E6" s="24">
        <f t="shared" si="2"/>
        <v>33</v>
      </c>
      <c r="F6" s="89">
        <f t="shared" si="1"/>
        <v>0.7857142857142857</v>
      </c>
      <c r="G6" s="90">
        <v>0.7857142857142857</v>
      </c>
    </row>
    <row r="7" spans="1:7" x14ac:dyDescent="0.25">
      <c r="A7" s="24">
        <v>52.428571428571431</v>
      </c>
      <c r="B7" s="24">
        <v>62.714285714285715</v>
      </c>
      <c r="C7" s="24">
        <f t="shared" si="0"/>
        <v>57.571428571428569</v>
      </c>
      <c r="D7" s="24">
        <v>4</v>
      </c>
      <c r="E7" s="24">
        <f t="shared" si="2"/>
        <v>37</v>
      </c>
      <c r="F7" s="89">
        <f t="shared" si="1"/>
        <v>0.88095238095238093</v>
      </c>
      <c r="G7" s="90">
        <v>0.88095238095238093</v>
      </c>
    </row>
    <row r="8" spans="1:7" ht="15.75" thickBot="1" x14ac:dyDescent="0.3">
      <c r="A8" s="25">
        <v>62.714285714285715</v>
      </c>
      <c r="B8" s="25">
        <v>73</v>
      </c>
      <c r="C8" s="25">
        <f t="shared" si="0"/>
        <v>67.857142857142861</v>
      </c>
      <c r="D8" s="25">
        <v>5</v>
      </c>
      <c r="E8" s="25">
        <f t="shared" si="2"/>
        <v>42</v>
      </c>
      <c r="F8" s="91">
        <f t="shared" si="1"/>
        <v>1</v>
      </c>
      <c r="G8" s="92">
        <v>1</v>
      </c>
    </row>
    <row r="9" spans="1:7" ht="15.75" thickBot="1" x14ac:dyDescent="0.3">
      <c r="C9" s="7" t="s">
        <v>26</v>
      </c>
      <c r="D9" s="7">
        <v>0</v>
      </c>
      <c r="E9" s="7"/>
      <c r="F9" s="7"/>
      <c r="G9" s="62">
        <v>1</v>
      </c>
    </row>
  </sheetData>
  <sortState xmlns:xlrd2="http://schemas.microsoft.com/office/spreadsheetml/2017/richdata2" ref="C2:C8">
    <sortCondition ref="C2"/>
  </sortState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O23" sqref="O23"/>
    </sheetView>
  </sheetViews>
  <sheetFormatPr baseColWidth="10" defaultRowHeight="15" x14ac:dyDescent="0.25"/>
  <sheetData>
    <row r="1" spans="1:7" ht="45.75" thickBot="1" x14ac:dyDescent="0.3">
      <c r="A1" s="102" t="s">
        <v>11</v>
      </c>
      <c r="B1" s="103"/>
      <c r="C1" s="67" t="s">
        <v>31</v>
      </c>
      <c r="D1" s="67" t="s">
        <v>27</v>
      </c>
      <c r="E1" s="67" t="s">
        <v>29</v>
      </c>
      <c r="F1" s="67" t="s">
        <v>30</v>
      </c>
      <c r="G1" s="68" t="s">
        <v>28</v>
      </c>
    </row>
    <row r="2" spans="1:7" x14ac:dyDescent="0.25">
      <c r="A2" s="69">
        <v>30</v>
      </c>
      <c r="B2" s="70">
        <v>40</v>
      </c>
      <c r="C2" s="70">
        <f>(A2+B2)/2</f>
        <v>35</v>
      </c>
      <c r="D2" s="70">
        <v>25</v>
      </c>
      <c r="E2" s="70">
        <f>D2</f>
        <v>25</v>
      </c>
      <c r="F2" s="71">
        <f>E2/$E$10</f>
        <v>0.14880952380952381</v>
      </c>
      <c r="G2" s="72">
        <v>0.14880952380952381</v>
      </c>
    </row>
    <row r="3" spans="1:7" x14ac:dyDescent="0.25">
      <c r="A3" s="73">
        <v>40</v>
      </c>
      <c r="B3" s="9">
        <v>50</v>
      </c>
      <c r="C3" s="9">
        <f t="shared" ref="C3:C10" si="0">(A3+B3)/2</f>
        <v>45</v>
      </c>
      <c r="D3" s="9">
        <v>18</v>
      </c>
      <c r="E3" s="9">
        <f>E2+D3</f>
        <v>43</v>
      </c>
      <c r="F3" s="74">
        <f t="shared" ref="F3:F10" si="1">E3/$E$10</f>
        <v>0.25595238095238093</v>
      </c>
      <c r="G3" s="75">
        <v>0.25595238095238093</v>
      </c>
    </row>
    <row r="4" spans="1:7" x14ac:dyDescent="0.25">
      <c r="A4" s="73">
        <v>50</v>
      </c>
      <c r="B4" s="9">
        <v>60</v>
      </c>
      <c r="C4" s="9">
        <f t="shared" si="0"/>
        <v>55</v>
      </c>
      <c r="D4" s="9">
        <v>15</v>
      </c>
      <c r="E4" s="9">
        <f t="shared" ref="E4:E10" si="2">E3+D4</f>
        <v>58</v>
      </c>
      <c r="F4" s="74">
        <f t="shared" si="1"/>
        <v>0.34523809523809523</v>
      </c>
      <c r="G4" s="75">
        <v>0.34523809523809523</v>
      </c>
    </row>
    <row r="5" spans="1:7" x14ac:dyDescent="0.25">
      <c r="A5" s="73">
        <v>60</v>
      </c>
      <c r="B5" s="9">
        <v>70</v>
      </c>
      <c r="C5" s="9">
        <f t="shared" si="0"/>
        <v>65</v>
      </c>
      <c r="D5" s="9">
        <v>19</v>
      </c>
      <c r="E5" s="9">
        <f t="shared" si="2"/>
        <v>77</v>
      </c>
      <c r="F5" s="74">
        <f t="shared" si="1"/>
        <v>0.45833333333333331</v>
      </c>
      <c r="G5" s="75">
        <v>0.45833333333333331</v>
      </c>
    </row>
    <row r="6" spans="1:7" x14ac:dyDescent="0.25">
      <c r="A6" s="73">
        <v>70</v>
      </c>
      <c r="B6" s="9">
        <v>80</v>
      </c>
      <c r="C6" s="9">
        <f t="shared" si="0"/>
        <v>75</v>
      </c>
      <c r="D6" s="9">
        <v>23</v>
      </c>
      <c r="E6" s="9">
        <f t="shared" si="2"/>
        <v>100</v>
      </c>
      <c r="F6" s="74">
        <f t="shared" si="1"/>
        <v>0.59523809523809523</v>
      </c>
      <c r="G6" s="75">
        <v>0.59523809523809523</v>
      </c>
    </row>
    <row r="7" spans="1:7" x14ac:dyDescent="0.25">
      <c r="A7" s="73">
        <v>80</v>
      </c>
      <c r="B7" s="9">
        <v>90</v>
      </c>
      <c r="C7" s="9">
        <f t="shared" si="0"/>
        <v>85</v>
      </c>
      <c r="D7" s="9">
        <v>19</v>
      </c>
      <c r="E7" s="9">
        <f t="shared" si="2"/>
        <v>119</v>
      </c>
      <c r="F7" s="74">
        <f t="shared" si="1"/>
        <v>0.70833333333333337</v>
      </c>
      <c r="G7" s="75">
        <v>0.70833333333333337</v>
      </c>
    </row>
    <row r="8" spans="1:7" x14ac:dyDescent="0.25">
      <c r="A8" s="73">
        <v>90</v>
      </c>
      <c r="B8" s="9">
        <v>100</v>
      </c>
      <c r="C8" s="9">
        <f t="shared" si="0"/>
        <v>95</v>
      </c>
      <c r="D8" s="9">
        <v>20</v>
      </c>
      <c r="E8" s="9">
        <f t="shared" si="2"/>
        <v>139</v>
      </c>
      <c r="F8" s="74">
        <f t="shared" si="1"/>
        <v>0.82738095238095233</v>
      </c>
      <c r="G8" s="75">
        <v>0.82738095238095233</v>
      </c>
    </row>
    <row r="9" spans="1:7" x14ac:dyDescent="0.25">
      <c r="A9" s="73">
        <v>100</v>
      </c>
      <c r="B9" s="9">
        <v>110</v>
      </c>
      <c r="C9" s="9">
        <f t="shared" si="0"/>
        <v>105</v>
      </c>
      <c r="D9" s="9">
        <v>10</v>
      </c>
      <c r="E9" s="9">
        <f t="shared" si="2"/>
        <v>149</v>
      </c>
      <c r="F9" s="74">
        <f t="shared" si="1"/>
        <v>0.88690476190476186</v>
      </c>
      <c r="G9" s="75">
        <v>0.88690476190476186</v>
      </c>
    </row>
    <row r="10" spans="1:7" ht="15.75" thickBot="1" x14ac:dyDescent="0.3">
      <c r="A10" s="76">
        <v>110</v>
      </c>
      <c r="B10" s="77">
        <v>120</v>
      </c>
      <c r="C10" s="77">
        <f t="shared" si="0"/>
        <v>115</v>
      </c>
      <c r="D10" s="77">
        <v>19</v>
      </c>
      <c r="E10" s="77">
        <f t="shared" si="2"/>
        <v>168</v>
      </c>
      <c r="F10" s="78">
        <f t="shared" si="1"/>
        <v>1</v>
      </c>
      <c r="G10" s="79">
        <v>1</v>
      </c>
    </row>
    <row r="11" spans="1:7" ht="15.75" thickBot="1" x14ac:dyDescent="0.3">
      <c r="C11" s="7" t="s">
        <v>26</v>
      </c>
      <c r="D11" s="7">
        <v>0</v>
      </c>
      <c r="E11" s="7"/>
      <c r="F11" s="7"/>
      <c r="G11" s="62">
        <v>1</v>
      </c>
    </row>
  </sheetData>
  <sortState xmlns:xlrd2="http://schemas.microsoft.com/office/spreadsheetml/2017/richdata2" ref="C2:C10">
    <sortCondition ref="C2"/>
  </sortState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1"/>
  <sheetViews>
    <sheetView workbookViewId="0">
      <selection activeCell="A23" sqref="A23:B30"/>
    </sheetView>
  </sheetViews>
  <sheetFormatPr baseColWidth="10" defaultRowHeight="15" x14ac:dyDescent="0.25"/>
  <cols>
    <col min="10" max="10" width="13.28515625" bestFit="1" customWidth="1"/>
  </cols>
  <sheetData>
    <row r="2" spans="2:11" x14ac:dyDescent="0.25">
      <c r="B2" s="10" t="s">
        <v>12</v>
      </c>
      <c r="C2" s="10"/>
      <c r="D2" s="10"/>
      <c r="E2" s="10"/>
    </row>
    <row r="3" spans="2:11" ht="15.75" thickBot="1" x14ac:dyDescent="0.3"/>
    <row r="4" spans="2:11" ht="15.75" thickBot="1" x14ac:dyDescent="0.3">
      <c r="B4" s="11">
        <v>17</v>
      </c>
      <c r="C4" s="12">
        <v>23</v>
      </c>
      <c r="D4" s="12">
        <v>18</v>
      </c>
      <c r="E4" s="12">
        <v>20</v>
      </c>
      <c r="F4" s="12">
        <v>24</v>
      </c>
      <c r="G4" s="12">
        <v>22</v>
      </c>
      <c r="J4">
        <f>MAX(B4:G18)</f>
        <v>28</v>
      </c>
    </row>
    <row r="5" spans="2:11" ht="15.75" thickBot="1" x14ac:dyDescent="0.3">
      <c r="B5" s="13">
        <v>18</v>
      </c>
      <c r="C5" s="14">
        <v>20</v>
      </c>
      <c r="D5" s="14">
        <v>24</v>
      </c>
      <c r="E5" s="14">
        <v>28</v>
      </c>
      <c r="F5" s="14">
        <v>18</v>
      </c>
      <c r="G5" s="14">
        <v>22</v>
      </c>
      <c r="J5">
        <f>MIN(B4:G18)</f>
        <v>17</v>
      </c>
    </row>
    <row r="6" spans="2:11" ht="15.75" thickBot="1" x14ac:dyDescent="0.3">
      <c r="B6" s="13">
        <v>22</v>
      </c>
      <c r="C6" s="14">
        <v>27</v>
      </c>
      <c r="D6" s="14">
        <v>17</v>
      </c>
      <c r="E6" s="14">
        <v>28</v>
      </c>
      <c r="F6" s="14">
        <v>26</v>
      </c>
      <c r="G6" s="14">
        <v>27</v>
      </c>
    </row>
    <row r="7" spans="2:11" ht="15.75" thickBot="1" x14ac:dyDescent="0.3">
      <c r="B7" s="13">
        <v>20</v>
      </c>
      <c r="C7" s="14">
        <v>25</v>
      </c>
      <c r="D7" s="14">
        <v>24</v>
      </c>
      <c r="E7" s="14">
        <v>19</v>
      </c>
      <c r="F7" s="14">
        <v>18</v>
      </c>
      <c r="G7" s="14">
        <v>22</v>
      </c>
      <c r="J7" s="27" t="s">
        <v>20</v>
      </c>
      <c r="K7" s="27">
        <f>MAX(B4:G18)</f>
        <v>28</v>
      </c>
    </row>
    <row r="8" spans="2:11" ht="15.75" thickBot="1" x14ac:dyDescent="0.3">
      <c r="B8" s="13">
        <v>17</v>
      </c>
      <c r="C8" s="14">
        <v>24</v>
      </c>
      <c r="D8" s="14">
        <v>28</v>
      </c>
      <c r="E8" s="14">
        <v>26</v>
      </c>
      <c r="F8" s="14">
        <v>26</v>
      </c>
      <c r="G8" s="14">
        <v>28</v>
      </c>
      <c r="J8" s="24" t="s">
        <v>21</v>
      </c>
      <c r="K8" s="24">
        <f>MIN(B4:G18)</f>
        <v>17</v>
      </c>
    </row>
    <row r="9" spans="2:11" ht="15.75" thickBot="1" x14ac:dyDescent="0.3">
      <c r="B9" s="13">
        <v>19</v>
      </c>
      <c r="C9" s="14">
        <v>27</v>
      </c>
      <c r="D9" s="14">
        <v>28</v>
      </c>
      <c r="E9" s="14">
        <v>23</v>
      </c>
      <c r="F9" s="14">
        <v>23</v>
      </c>
      <c r="G9" s="14">
        <v>22</v>
      </c>
      <c r="J9" s="24" t="s">
        <v>3</v>
      </c>
      <c r="K9" s="24">
        <f>K7-K8</f>
        <v>11</v>
      </c>
    </row>
    <row r="10" spans="2:11" ht="15.75" thickBot="1" x14ac:dyDescent="0.3">
      <c r="B10" s="13">
        <v>20</v>
      </c>
      <c r="C10" s="14">
        <v>22</v>
      </c>
      <c r="D10" s="14">
        <v>25</v>
      </c>
      <c r="E10" s="14">
        <v>18</v>
      </c>
      <c r="F10" s="14">
        <v>28</v>
      </c>
      <c r="G10" s="14">
        <v>23</v>
      </c>
      <c r="J10" s="24" t="s">
        <v>22</v>
      </c>
      <c r="K10" s="24">
        <f>COUNT(B4:G18)</f>
        <v>90</v>
      </c>
    </row>
    <row r="11" spans="2:11" ht="15.75" thickBot="1" x14ac:dyDescent="0.3">
      <c r="B11" s="13">
        <v>27</v>
      </c>
      <c r="C11" s="14">
        <v>23</v>
      </c>
      <c r="D11" s="14">
        <v>20</v>
      </c>
      <c r="E11" s="14">
        <v>19</v>
      </c>
      <c r="F11" s="14">
        <v>22</v>
      </c>
      <c r="G11" s="14">
        <v>22</v>
      </c>
      <c r="J11" s="24" t="s">
        <v>23</v>
      </c>
      <c r="K11" s="24">
        <f>ROUNDUP(1+3.322*LOG(K10),0)</f>
        <v>8</v>
      </c>
    </row>
    <row r="12" spans="2:11" ht="15.75" thickBot="1" x14ac:dyDescent="0.3">
      <c r="B12" s="13">
        <v>27</v>
      </c>
      <c r="C12" s="14">
        <v>23</v>
      </c>
      <c r="D12" s="14">
        <v>23</v>
      </c>
      <c r="E12" s="14">
        <v>23</v>
      </c>
      <c r="F12" s="14">
        <v>21</v>
      </c>
      <c r="G12" s="14">
        <v>17</v>
      </c>
      <c r="J12" s="25" t="s">
        <v>11</v>
      </c>
      <c r="K12" s="25">
        <f>K9/K11</f>
        <v>1.375</v>
      </c>
    </row>
    <row r="13" spans="2:11" ht="15.75" thickBot="1" x14ac:dyDescent="0.3">
      <c r="B13" s="13">
        <v>27</v>
      </c>
      <c r="C13" s="14">
        <v>28</v>
      </c>
      <c r="D13" s="14">
        <v>23</v>
      </c>
      <c r="E13" s="14">
        <v>26</v>
      </c>
      <c r="F13" s="14">
        <v>28</v>
      </c>
      <c r="G13" s="14">
        <v>21</v>
      </c>
    </row>
    <row r="14" spans="2:11" ht="15.75" thickBot="1" x14ac:dyDescent="0.3">
      <c r="B14" s="13">
        <v>17</v>
      </c>
      <c r="C14" s="14">
        <v>26</v>
      </c>
      <c r="D14" s="14">
        <v>18</v>
      </c>
      <c r="E14" s="14">
        <v>28</v>
      </c>
      <c r="F14" s="14">
        <v>19</v>
      </c>
      <c r="G14" s="14">
        <v>20</v>
      </c>
    </row>
    <row r="15" spans="2:11" ht="15.75" thickBot="1" x14ac:dyDescent="0.3">
      <c r="B15" s="13">
        <v>26</v>
      </c>
      <c r="C15" s="14">
        <v>19</v>
      </c>
      <c r="D15" s="14">
        <v>22</v>
      </c>
      <c r="E15" s="14">
        <v>24</v>
      </c>
      <c r="F15" s="14">
        <v>23</v>
      </c>
      <c r="G15" s="14">
        <v>21</v>
      </c>
    </row>
    <row r="16" spans="2:11" ht="15.75" thickBot="1" x14ac:dyDescent="0.3">
      <c r="B16" s="13">
        <v>26</v>
      </c>
      <c r="C16" s="14">
        <v>23</v>
      </c>
      <c r="D16" s="14">
        <v>22</v>
      </c>
      <c r="E16" s="14">
        <v>18</v>
      </c>
      <c r="F16" s="14">
        <v>21</v>
      </c>
      <c r="G16" s="14">
        <v>28</v>
      </c>
    </row>
    <row r="17" spans="1:9" ht="15.75" thickBot="1" x14ac:dyDescent="0.3">
      <c r="B17" s="13">
        <v>19</v>
      </c>
      <c r="C17" s="14">
        <v>22</v>
      </c>
      <c r="D17" s="14">
        <v>22</v>
      </c>
      <c r="E17" s="14">
        <v>28</v>
      </c>
      <c r="F17" s="14">
        <v>18</v>
      </c>
      <c r="G17" s="14">
        <v>18</v>
      </c>
    </row>
    <row r="18" spans="1:9" ht="15.75" thickBot="1" x14ac:dyDescent="0.3">
      <c r="B18" s="13">
        <v>26</v>
      </c>
      <c r="C18" s="14">
        <v>26</v>
      </c>
      <c r="D18" s="14">
        <v>25</v>
      </c>
      <c r="E18" s="14">
        <v>22</v>
      </c>
      <c r="F18" s="14">
        <v>23</v>
      </c>
      <c r="G18" s="14">
        <v>25</v>
      </c>
    </row>
    <row r="20" spans="1:9" ht="15.75" thickBot="1" x14ac:dyDescent="0.3"/>
    <row r="21" spans="1:9" ht="60.75" thickBot="1" x14ac:dyDescent="0.3">
      <c r="A21" s="21" t="s">
        <v>18</v>
      </c>
      <c r="B21" s="40" t="s">
        <v>19</v>
      </c>
      <c r="C21" s="21" t="s">
        <v>13</v>
      </c>
      <c r="D21" s="21" t="s">
        <v>14</v>
      </c>
      <c r="E21" s="21" t="s">
        <v>15</v>
      </c>
      <c r="F21" s="104" t="s">
        <v>16</v>
      </c>
      <c r="G21" s="104"/>
      <c r="H21" s="104" t="s">
        <v>17</v>
      </c>
      <c r="I21" s="104"/>
    </row>
    <row r="22" spans="1:9" ht="15.75" thickBot="1" x14ac:dyDescent="0.3">
      <c r="A22" s="63"/>
      <c r="B22" s="64"/>
      <c r="C22" s="65"/>
      <c r="D22" s="65"/>
      <c r="E22" s="65"/>
      <c r="F22" s="65"/>
      <c r="G22" s="65"/>
      <c r="H22" s="65"/>
      <c r="I22" s="65"/>
    </row>
    <row r="23" spans="1:9" ht="15.75" thickBot="1" x14ac:dyDescent="0.3">
      <c r="A23" s="48">
        <f>K8</f>
        <v>17</v>
      </c>
      <c r="B23" s="41">
        <f>A23+$K$12</f>
        <v>18.375</v>
      </c>
      <c r="C23" s="22">
        <f>(A23+B23)/2</f>
        <v>17.6875</v>
      </c>
      <c r="D23" s="22">
        <f>COUNTIFS($B$4:$G$18,"&gt;=17",$B$4:$G$18,"&lt;18.375")</f>
        <v>14</v>
      </c>
      <c r="E23" s="22">
        <f>D23</f>
        <v>14</v>
      </c>
      <c r="F23" s="22">
        <f>D23/$D$31</f>
        <v>0.15555555555555556</v>
      </c>
      <c r="G23" s="29">
        <f>F23*1</f>
        <v>0.15555555555555556</v>
      </c>
      <c r="H23" s="22">
        <f>F23</f>
        <v>0.15555555555555556</v>
      </c>
      <c r="I23" s="29">
        <f>H23*1</f>
        <v>0.15555555555555556</v>
      </c>
    </row>
    <row r="24" spans="1:9" ht="15.75" thickBot="1" x14ac:dyDescent="0.3">
      <c r="A24" s="28">
        <f t="shared" ref="A24:A30" si="0">B23</f>
        <v>18.375</v>
      </c>
      <c r="B24" s="42">
        <f>A24+$K$12</f>
        <v>19.75</v>
      </c>
      <c r="C24" s="22">
        <f t="shared" ref="C24:C30" si="1">(A24+B24)/2</f>
        <v>19.0625</v>
      </c>
      <c r="D24" s="22">
        <f>COUNTIFS($B$4:$G$18,"&gt;=18.375",$B$4:$G$18,"&lt;19.75")</f>
        <v>6</v>
      </c>
      <c r="E24" s="23">
        <f>E23+D24</f>
        <v>20</v>
      </c>
      <c r="F24" s="22">
        <f t="shared" ref="F24:F30" si="2">D24/$D$31</f>
        <v>6.6666666666666666E-2</v>
      </c>
      <c r="G24" s="29">
        <f t="shared" ref="G24:G31" si="3">F24*1</f>
        <v>6.6666666666666666E-2</v>
      </c>
      <c r="H24" s="23">
        <f>H23+F24</f>
        <v>0.22222222222222221</v>
      </c>
      <c r="I24" s="29">
        <f t="shared" ref="I24:I30" si="4">H24*1</f>
        <v>0.22222222222222221</v>
      </c>
    </row>
    <row r="25" spans="1:9" ht="15.75" thickBot="1" x14ac:dyDescent="0.3">
      <c r="A25" s="48">
        <f t="shared" si="0"/>
        <v>19.75</v>
      </c>
      <c r="B25" s="41">
        <f t="shared" ref="B25:B30" si="5">A25+$K$12</f>
        <v>21.125</v>
      </c>
      <c r="C25" s="22">
        <f t="shared" si="1"/>
        <v>20.4375</v>
      </c>
      <c r="D25" s="22">
        <f>COUNTIFS($B$4:$G$18,"&gt;=19.75",$B$4:$G$18,"&lt;21.125")</f>
        <v>10</v>
      </c>
      <c r="E25" s="23">
        <f>E24+D25</f>
        <v>30</v>
      </c>
      <c r="F25" s="22">
        <f t="shared" si="2"/>
        <v>0.1111111111111111</v>
      </c>
      <c r="G25" s="29">
        <f t="shared" si="3"/>
        <v>0.1111111111111111</v>
      </c>
      <c r="H25" s="23">
        <f t="shared" ref="H25:H30" si="6">H24+F25</f>
        <v>0.33333333333333331</v>
      </c>
      <c r="I25" s="29">
        <f t="shared" si="4"/>
        <v>0.33333333333333331</v>
      </c>
    </row>
    <row r="26" spans="1:9" ht="15.75" thickBot="1" x14ac:dyDescent="0.3">
      <c r="A26" s="28">
        <f t="shared" si="0"/>
        <v>21.125</v>
      </c>
      <c r="B26" s="42">
        <f t="shared" si="5"/>
        <v>22.5</v>
      </c>
      <c r="C26" s="22">
        <f t="shared" si="1"/>
        <v>21.8125</v>
      </c>
      <c r="D26" s="22">
        <f>COUNTIFS($B$4:$G$18,"&gt;=21.125",$B$4:$G$18,"&lt;22.5")</f>
        <v>13</v>
      </c>
      <c r="E26" s="23">
        <f>E25+D26</f>
        <v>43</v>
      </c>
      <c r="F26" s="22">
        <f t="shared" si="2"/>
        <v>0.14444444444444443</v>
      </c>
      <c r="G26" s="29">
        <f t="shared" si="3"/>
        <v>0.14444444444444443</v>
      </c>
      <c r="H26" s="23">
        <f t="shared" si="6"/>
        <v>0.47777777777777775</v>
      </c>
      <c r="I26" s="29">
        <f t="shared" si="4"/>
        <v>0.47777777777777775</v>
      </c>
    </row>
    <row r="27" spans="1:9" ht="15.75" thickBot="1" x14ac:dyDescent="0.3">
      <c r="A27" s="48">
        <f t="shared" si="0"/>
        <v>22.5</v>
      </c>
      <c r="B27" s="41">
        <f t="shared" si="5"/>
        <v>23.875</v>
      </c>
      <c r="C27" s="22">
        <f t="shared" si="1"/>
        <v>23.1875</v>
      </c>
      <c r="D27" s="22">
        <f>COUNTIFS($B$4:$G$18,"&gt;=22.5",$B$4:$G$18,"&lt;23.875")</f>
        <v>12</v>
      </c>
      <c r="E27" s="23">
        <f t="shared" ref="E27:E30" si="7">E26+D27</f>
        <v>55</v>
      </c>
      <c r="F27" s="22">
        <f t="shared" si="2"/>
        <v>0.13333333333333333</v>
      </c>
      <c r="G27" s="29">
        <f t="shared" si="3"/>
        <v>0.13333333333333333</v>
      </c>
      <c r="H27" s="23">
        <f t="shared" si="6"/>
        <v>0.61111111111111105</v>
      </c>
      <c r="I27" s="29">
        <f t="shared" si="4"/>
        <v>0.61111111111111105</v>
      </c>
    </row>
    <row r="28" spans="1:9" ht="15.75" thickBot="1" x14ac:dyDescent="0.3">
      <c r="A28" s="28">
        <f t="shared" si="0"/>
        <v>23.875</v>
      </c>
      <c r="B28" s="43">
        <f t="shared" si="5"/>
        <v>25.25</v>
      </c>
      <c r="C28" s="22">
        <f>(A28+B28)/2</f>
        <v>24.5625</v>
      </c>
      <c r="D28" s="22">
        <f>COUNTIFS($B$4:$G$18,"&gt;=23.875",$B$4:$G$18,"&lt;25.25")</f>
        <v>9</v>
      </c>
      <c r="E28" s="23">
        <f t="shared" si="7"/>
        <v>64</v>
      </c>
      <c r="F28" s="22">
        <f t="shared" si="2"/>
        <v>0.1</v>
      </c>
      <c r="G28" s="29">
        <f t="shared" si="3"/>
        <v>0.1</v>
      </c>
      <c r="H28" s="23">
        <f t="shared" si="6"/>
        <v>0.71111111111111103</v>
      </c>
      <c r="I28" s="29">
        <f t="shared" si="4"/>
        <v>0.71111111111111103</v>
      </c>
    </row>
    <row r="29" spans="1:9" ht="15.75" thickBot="1" x14ac:dyDescent="0.3">
      <c r="A29" s="48">
        <f t="shared" si="0"/>
        <v>25.25</v>
      </c>
      <c r="B29" s="48">
        <f t="shared" si="5"/>
        <v>26.625</v>
      </c>
      <c r="C29" s="22">
        <f t="shared" si="1"/>
        <v>25.9375</v>
      </c>
      <c r="D29" s="22">
        <f>COUNTIFS($B$4:$G$18,"&gt;=25.25",$B$4:$G$18,"&lt;26.625")</f>
        <v>9</v>
      </c>
      <c r="E29" s="23">
        <f t="shared" si="7"/>
        <v>73</v>
      </c>
      <c r="F29" s="22">
        <f t="shared" si="2"/>
        <v>0.1</v>
      </c>
      <c r="G29" s="29">
        <f t="shared" si="3"/>
        <v>0.1</v>
      </c>
      <c r="H29" s="23">
        <f t="shared" si="6"/>
        <v>0.81111111111111101</v>
      </c>
      <c r="I29" s="29">
        <f t="shared" si="4"/>
        <v>0.81111111111111101</v>
      </c>
    </row>
    <row r="30" spans="1:9" ht="15.75" thickBot="1" x14ac:dyDescent="0.3">
      <c r="A30" s="20">
        <f t="shared" si="0"/>
        <v>26.625</v>
      </c>
      <c r="B30" s="48">
        <f t="shared" si="5"/>
        <v>28</v>
      </c>
      <c r="C30" s="28">
        <f t="shared" si="1"/>
        <v>27.3125</v>
      </c>
      <c r="D30" s="28">
        <f>COUNTIFS($B$4:$G$18,"&gt;=26.625",$B$4:$G$18,"&lt;=28")</f>
        <v>17</v>
      </c>
      <c r="E30" s="44">
        <f t="shared" si="7"/>
        <v>90</v>
      </c>
      <c r="F30" s="28">
        <f t="shared" si="2"/>
        <v>0.18888888888888888</v>
      </c>
      <c r="G30" s="30">
        <f t="shared" si="3"/>
        <v>0.18888888888888888</v>
      </c>
      <c r="H30" s="23">
        <f t="shared" si="6"/>
        <v>0.99999999999999989</v>
      </c>
      <c r="I30" s="29">
        <f t="shared" si="4"/>
        <v>0.99999999999999989</v>
      </c>
    </row>
    <row r="31" spans="1:9" ht="15.75" thickBot="1" x14ac:dyDescent="0.3">
      <c r="A31" s="26"/>
      <c r="B31" s="26"/>
      <c r="C31" s="33" t="s">
        <v>24</v>
      </c>
      <c r="D31" s="33">
        <f>SUM(D23:D30)</f>
        <v>90</v>
      </c>
      <c r="E31" s="32"/>
      <c r="F31" s="33">
        <f>SUM(F23:F30)</f>
        <v>0.99999999999999989</v>
      </c>
      <c r="G31" s="34">
        <f t="shared" si="3"/>
        <v>0.99999999999999989</v>
      </c>
      <c r="H31" s="26"/>
      <c r="I31" s="26"/>
    </row>
  </sheetData>
  <mergeCells count="2">
    <mergeCell ref="F21:G21"/>
    <mergeCell ref="H21:I21"/>
  </mergeCells>
  <pageMargins left="0.7" right="0.7" top="0.75" bottom="0.75" header="0.3" footer="0.3"/>
  <ignoredErrors>
    <ignoredError sqref="H23:H26 H27:H3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G9" sqref="A2:G9"/>
    </sheetView>
  </sheetViews>
  <sheetFormatPr baseColWidth="10" defaultRowHeight="15" x14ac:dyDescent="0.25"/>
  <sheetData>
    <row r="1" spans="1:7" s="66" customFormat="1" ht="45.75" thickBot="1" x14ac:dyDescent="0.3">
      <c r="A1" s="105" t="s">
        <v>11</v>
      </c>
      <c r="B1" s="105"/>
      <c r="C1" s="86" t="s">
        <v>31</v>
      </c>
      <c r="D1" s="86" t="s">
        <v>27</v>
      </c>
      <c r="E1" s="86" t="s">
        <v>29</v>
      </c>
      <c r="F1" s="86" t="s">
        <v>30</v>
      </c>
      <c r="G1" s="86" t="s">
        <v>28</v>
      </c>
    </row>
    <row r="2" spans="1:7" x14ac:dyDescent="0.25">
      <c r="A2" s="27">
        <v>17</v>
      </c>
      <c r="B2" s="27">
        <v>18.375</v>
      </c>
      <c r="C2" s="27">
        <f>(A2+B2)/2</f>
        <v>17.6875</v>
      </c>
      <c r="D2" s="27">
        <v>14</v>
      </c>
      <c r="E2" s="27">
        <f>D2</f>
        <v>14</v>
      </c>
      <c r="F2" s="87">
        <f>E2/$E$9</f>
        <v>0.15555555555555556</v>
      </c>
      <c r="G2" s="88">
        <v>0.15555555555555556</v>
      </c>
    </row>
    <row r="3" spans="1:7" x14ac:dyDescent="0.25">
      <c r="A3" s="24">
        <v>18.375</v>
      </c>
      <c r="B3" s="24">
        <v>19.75</v>
      </c>
      <c r="C3" s="24">
        <f t="shared" ref="C3:C9" si="0">(A3+B3)/2</f>
        <v>19.0625</v>
      </c>
      <c r="D3" s="24">
        <v>6</v>
      </c>
      <c r="E3" s="24">
        <f>E2+D3</f>
        <v>20</v>
      </c>
      <c r="F3" s="89">
        <f t="shared" ref="F3:F9" si="1">E3/$E$9</f>
        <v>0.22222222222222221</v>
      </c>
      <c r="G3" s="90">
        <v>0.22222222222222221</v>
      </c>
    </row>
    <row r="4" spans="1:7" x14ac:dyDescent="0.25">
      <c r="A4" s="24">
        <v>19.75</v>
      </c>
      <c r="B4" s="24">
        <v>21.125</v>
      </c>
      <c r="C4" s="24">
        <f t="shared" si="0"/>
        <v>20.4375</v>
      </c>
      <c r="D4" s="24">
        <v>10</v>
      </c>
      <c r="E4" s="24">
        <f t="shared" ref="E4:E9" si="2">E3+D4</f>
        <v>30</v>
      </c>
      <c r="F4" s="89">
        <f t="shared" si="1"/>
        <v>0.33333333333333331</v>
      </c>
      <c r="G4" s="90">
        <v>0.33333333333333331</v>
      </c>
    </row>
    <row r="5" spans="1:7" x14ac:dyDescent="0.25">
      <c r="A5" s="24">
        <v>21.125</v>
      </c>
      <c r="B5" s="24">
        <v>22.5</v>
      </c>
      <c r="C5" s="24">
        <f t="shared" si="0"/>
        <v>21.8125</v>
      </c>
      <c r="D5" s="24">
        <v>13</v>
      </c>
      <c r="E5" s="24">
        <f t="shared" si="2"/>
        <v>43</v>
      </c>
      <c r="F5" s="89">
        <f t="shared" si="1"/>
        <v>0.4777777777777778</v>
      </c>
      <c r="G5" s="90">
        <v>0.4777777777777778</v>
      </c>
    </row>
    <row r="6" spans="1:7" x14ac:dyDescent="0.25">
      <c r="A6" s="24">
        <v>22.5</v>
      </c>
      <c r="B6" s="24">
        <v>23.875</v>
      </c>
      <c r="C6" s="24">
        <f t="shared" si="0"/>
        <v>23.1875</v>
      </c>
      <c r="D6" s="24">
        <v>12</v>
      </c>
      <c r="E6" s="24">
        <f t="shared" si="2"/>
        <v>55</v>
      </c>
      <c r="F6" s="89">
        <f t="shared" si="1"/>
        <v>0.61111111111111116</v>
      </c>
      <c r="G6" s="90">
        <v>0.61111111111111116</v>
      </c>
    </row>
    <row r="7" spans="1:7" x14ac:dyDescent="0.25">
      <c r="A7" s="24">
        <v>23.875</v>
      </c>
      <c r="B7" s="24">
        <v>25.25</v>
      </c>
      <c r="C7" s="24">
        <f t="shared" si="0"/>
        <v>24.5625</v>
      </c>
      <c r="D7" s="24">
        <v>9</v>
      </c>
      <c r="E7" s="24">
        <f t="shared" si="2"/>
        <v>64</v>
      </c>
      <c r="F7" s="89">
        <f t="shared" si="1"/>
        <v>0.71111111111111114</v>
      </c>
      <c r="G7" s="90">
        <v>0.71111111111111114</v>
      </c>
    </row>
    <row r="8" spans="1:7" x14ac:dyDescent="0.25">
      <c r="A8" s="24">
        <v>25.25</v>
      </c>
      <c r="B8" s="24">
        <v>26.625</v>
      </c>
      <c r="C8" s="24">
        <f t="shared" si="0"/>
        <v>25.9375</v>
      </c>
      <c r="D8" s="24">
        <v>9</v>
      </c>
      <c r="E8" s="24">
        <f t="shared" si="2"/>
        <v>73</v>
      </c>
      <c r="F8" s="89">
        <f t="shared" si="1"/>
        <v>0.81111111111111112</v>
      </c>
      <c r="G8" s="90">
        <v>0.81111111111111112</v>
      </c>
    </row>
    <row r="9" spans="1:7" ht="15.75" thickBot="1" x14ac:dyDescent="0.3">
      <c r="A9" s="25">
        <v>26.625</v>
      </c>
      <c r="B9" s="25">
        <v>28</v>
      </c>
      <c r="C9" s="25">
        <f t="shared" si="0"/>
        <v>27.3125</v>
      </c>
      <c r="D9" s="25">
        <v>17</v>
      </c>
      <c r="E9" s="25">
        <f t="shared" si="2"/>
        <v>90</v>
      </c>
      <c r="F9" s="91">
        <f t="shared" si="1"/>
        <v>1</v>
      </c>
      <c r="G9" s="92">
        <v>1</v>
      </c>
    </row>
    <row r="10" spans="1:7" ht="15.75" thickBot="1" x14ac:dyDescent="0.3">
      <c r="C10" s="7" t="s">
        <v>26</v>
      </c>
      <c r="D10" s="7">
        <v>0</v>
      </c>
      <c r="E10" s="7"/>
      <c r="F10" s="7"/>
      <c r="G10" s="62">
        <v>1</v>
      </c>
    </row>
  </sheetData>
  <sortState xmlns:xlrd2="http://schemas.microsoft.com/office/spreadsheetml/2017/richdata2" ref="C2:C9">
    <sortCondition ref="C2"/>
  </sortState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31"/>
  <sheetViews>
    <sheetView workbookViewId="0">
      <selection activeCell="A23" sqref="A23:B30"/>
    </sheetView>
  </sheetViews>
  <sheetFormatPr baseColWidth="10" defaultRowHeight="15" x14ac:dyDescent="0.25"/>
  <cols>
    <col min="10" max="10" width="13.28515625" bestFit="1" customWidth="1"/>
  </cols>
  <sheetData>
    <row r="2" spans="2:11" x14ac:dyDescent="0.25">
      <c r="B2" s="10" t="s">
        <v>12</v>
      </c>
    </row>
    <row r="3" spans="2:11" ht="15.75" thickBot="1" x14ac:dyDescent="0.3"/>
    <row r="4" spans="2:11" ht="16.5" thickBot="1" x14ac:dyDescent="0.3">
      <c r="B4" s="15">
        <v>59</v>
      </c>
      <c r="C4" s="16">
        <v>63</v>
      </c>
      <c r="D4" s="16">
        <v>59</v>
      </c>
      <c r="E4" s="16">
        <v>8</v>
      </c>
      <c r="F4" s="16">
        <v>31</v>
      </c>
      <c r="G4" s="16">
        <v>70</v>
      </c>
      <c r="J4">
        <f>MAX(B4:G18)</f>
        <v>76</v>
      </c>
    </row>
    <row r="5" spans="2:11" ht="16.5" thickBot="1" x14ac:dyDescent="0.3">
      <c r="B5" s="17">
        <v>21</v>
      </c>
      <c r="C5" s="18">
        <v>69</v>
      </c>
      <c r="D5" s="18">
        <v>19</v>
      </c>
      <c r="E5" s="18">
        <v>49</v>
      </c>
      <c r="F5" s="18">
        <v>16</v>
      </c>
      <c r="G5" s="18">
        <v>48</v>
      </c>
      <c r="J5">
        <f>MIN(B4:G18)</f>
        <v>8</v>
      </c>
    </row>
    <row r="6" spans="2:11" ht="16.5" thickBot="1" x14ac:dyDescent="0.3">
      <c r="B6" s="17">
        <v>29</v>
      </c>
      <c r="C6" s="18">
        <v>43</v>
      </c>
      <c r="D6" s="18">
        <v>74</v>
      </c>
      <c r="E6" s="18">
        <v>69</v>
      </c>
      <c r="F6" s="18">
        <v>42</v>
      </c>
      <c r="G6" s="18">
        <v>73</v>
      </c>
    </row>
    <row r="7" spans="2:11" ht="16.5" thickBot="1" x14ac:dyDescent="0.3">
      <c r="B7" s="17">
        <v>8</v>
      </c>
      <c r="C7" s="18">
        <v>66</v>
      </c>
      <c r="D7" s="18">
        <v>20</v>
      </c>
      <c r="E7" s="18">
        <v>73</v>
      </c>
      <c r="F7" s="18">
        <v>27</v>
      </c>
      <c r="G7" s="18">
        <v>45</v>
      </c>
    </row>
    <row r="8" spans="2:11" ht="16.5" thickBot="1" x14ac:dyDescent="0.3">
      <c r="B8" s="17">
        <v>54</v>
      </c>
      <c r="C8" s="18">
        <v>61</v>
      </c>
      <c r="D8" s="18">
        <v>66</v>
      </c>
      <c r="E8" s="18">
        <v>17</v>
      </c>
      <c r="F8" s="18">
        <v>34</v>
      </c>
      <c r="G8" s="18">
        <v>20</v>
      </c>
    </row>
    <row r="9" spans="2:11" ht="16.5" thickBot="1" x14ac:dyDescent="0.3">
      <c r="B9" s="17">
        <v>11</v>
      </c>
      <c r="C9" s="18">
        <v>73</v>
      </c>
      <c r="D9" s="18">
        <v>65</v>
      </c>
      <c r="E9" s="18">
        <v>57</v>
      </c>
      <c r="F9" s="18">
        <v>61</v>
      </c>
      <c r="G9" s="18">
        <v>61</v>
      </c>
      <c r="J9" s="45" t="s">
        <v>20</v>
      </c>
      <c r="K9" s="27">
        <f>MAX(B4:G18)</f>
        <v>76</v>
      </c>
    </row>
    <row r="10" spans="2:11" ht="16.5" thickBot="1" x14ac:dyDescent="0.3">
      <c r="B10" s="17">
        <v>39</v>
      </c>
      <c r="C10" s="18">
        <v>21</v>
      </c>
      <c r="D10" s="18">
        <v>60</v>
      </c>
      <c r="E10" s="18">
        <v>59</v>
      </c>
      <c r="F10" s="18">
        <v>10</v>
      </c>
      <c r="G10" s="18">
        <v>15</v>
      </c>
      <c r="J10" s="46" t="s">
        <v>21</v>
      </c>
      <c r="K10" s="24">
        <f>MIN(B4:G18)</f>
        <v>8</v>
      </c>
    </row>
    <row r="11" spans="2:11" ht="16.5" thickBot="1" x14ac:dyDescent="0.3">
      <c r="B11" s="17">
        <v>49</v>
      </c>
      <c r="C11" s="18">
        <v>11</v>
      </c>
      <c r="D11" s="18">
        <v>17</v>
      </c>
      <c r="E11" s="18">
        <v>28</v>
      </c>
      <c r="F11" s="18">
        <v>10</v>
      </c>
      <c r="G11" s="18">
        <v>22</v>
      </c>
      <c r="J11" s="46" t="s">
        <v>3</v>
      </c>
      <c r="K11" s="24">
        <f>K9-K10</f>
        <v>68</v>
      </c>
    </row>
    <row r="12" spans="2:11" ht="16.5" thickBot="1" x14ac:dyDescent="0.3">
      <c r="B12" s="17">
        <v>17</v>
      </c>
      <c r="C12" s="18">
        <v>43</v>
      </c>
      <c r="D12" s="18">
        <v>25</v>
      </c>
      <c r="E12" s="18">
        <v>41</v>
      </c>
      <c r="F12" s="18">
        <v>27</v>
      </c>
      <c r="G12" s="18">
        <v>16</v>
      </c>
      <c r="J12" s="46" t="s">
        <v>22</v>
      </c>
      <c r="K12" s="24">
        <f>COUNT(B4:G18)</f>
        <v>90</v>
      </c>
    </row>
    <row r="13" spans="2:11" ht="16.5" thickBot="1" x14ac:dyDescent="0.3">
      <c r="B13" s="17">
        <v>35</v>
      </c>
      <c r="C13" s="18">
        <v>13</v>
      </c>
      <c r="D13" s="18">
        <v>61</v>
      </c>
      <c r="E13" s="18">
        <v>61</v>
      </c>
      <c r="F13" s="18">
        <v>60</v>
      </c>
      <c r="G13" s="18">
        <v>11</v>
      </c>
      <c r="J13" s="46" t="s">
        <v>23</v>
      </c>
      <c r="K13" s="24">
        <f>ROUNDUP(1+3.322*LOG(K12),0)</f>
        <v>8</v>
      </c>
    </row>
    <row r="14" spans="2:11" ht="16.5" thickBot="1" x14ac:dyDescent="0.3">
      <c r="B14" s="17">
        <v>29</v>
      </c>
      <c r="C14" s="18">
        <v>64</v>
      </c>
      <c r="D14" s="18">
        <v>40</v>
      </c>
      <c r="E14" s="18">
        <v>72</v>
      </c>
      <c r="F14" s="18">
        <v>21</v>
      </c>
      <c r="G14" s="18">
        <v>76</v>
      </c>
      <c r="J14" s="47" t="s">
        <v>11</v>
      </c>
      <c r="K14" s="25">
        <f>K11/K13</f>
        <v>8.5</v>
      </c>
    </row>
    <row r="15" spans="2:11" ht="16.5" thickBot="1" x14ac:dyDescent="0.3">
      <c r="B15" s="17">
        <v>14</v>
      </c>
      <c r="C15" s="18">
        <v>32</v>
      </c>
      <c r="D15" s="18">
        <v>21</v>
      </c>
      <c r="E15" s="18">
        <v>57</v>
      </c>
      <c r="F15" s="18">
        <v>10</v>
      </c>
      <c r="G15" s="18">
        <v>50</v>
      </c>
    </row>
    <row r="16" spans="2:11" ht="16.5" thickBot="1" x14ac:dyDescent="0.3">
      <c r="B16" s="17">
        <v>12</v>
      </c>
      <c r="C16" s="18">
        <v>14</v>
      </c>
      <c r="D16" s="18">
        <v>26</v>
      </c>
      <c r="E16" s="18">
        <v>40</v>
      </c>
      <c r="F16" s="18">
        <v>61</v>
      </c>
      <c r="G16" s="18">
        <v>56</v>
      </c>
    </row>
    <row r="17" spans="1:9" ht="16.5" thickBot="1" x14ac:dyDescent="0.3">
      <c r="B17" s="17">
        <v>76</v>
      </c>
      <c r="C17" s="18">
        <v>20</v>
      </c>
      <c r="D17" s="18">
        <v>52</v>
      </c>
      <c r="E17" s="18">
        <v>37</v>
      </c>
      <c r="F17" s="18">
        <v>31</v>
      </c>
      <c r="G17" s="18">
        <v>11</v>
      </c>
    </row>
    <row r="18" spans="1:9" ht="16.5" thickBot="1" x14ac:dyDescent="0.3">
      <c r="B18" s="17">
        <v>59</v>
      </c>
      <c r="C18" s="18">
        <v>25</v>
      </c>
      <c r="D18" s="18">
        <v>56</v>
      </c>
      <c r="E18" s="18">
        <v>8</v>
      </c>
      <c r="F18" s="18">
        <v>27</v>
      </c>
      <c r="G18" s="18">
        <v>60</v>
      </c>
    </row>
    <row r="20" spans="1:9" ht="15.75" thickBot="1" x14ac:dyDescent="0.3"/>
    <row r="21" spans="1:9" ht="60.75" thickBot="1" x14ac:dyDescent="0.3">
      <c r="A21" s="21" t="s">
        <v>18</v>
      </c>
      <c r="B21" s="21" t="s">
        <v>19</v>
      </c>
      <c r="C21" s="21" t="s">
        <v>13</v>
      </c>
      <c r="D21" s="21" t="s">
        <v>14</v>
      </c>
      <c r="E21" s="21" t="s">
        <v>15</v>
      </c>
      <c r="F21" s="104" t="s">
        <v>16</v>
      </c>
      <c r="G21" s="104"/>
      <c r="H21" s="104" t="s">
        <v>17</v>
      </c>
      <c r="I21" s="104"/>
    </row>
    <row r="22" spans="1:9" ht="15.75" thickBot="1" x14ac:dyDescent="0.3">
      <c r="A22" s="63"/>
      <c r="B22" s="65"/>
      <c r="C22" s="65"/>
      <c r="D22" s="65"/>
      <c r="E22" s="65"/>
      <c r="F22" s="65"/>
      <c r="G22" s="65"/>
      <c r="H22" s="65"/>
      <c r="I22" s="65"/>
    </row>
    <row r="23" spans="1:9" ht="15.75" thickBot="1" x14ac:dyDescent="0.3">
      <c r="A23" s="48">
        <f>K10</f>
        <v>8</v>
      </c>
      <c r="B23" s="22">
        <f>A23+$K$14</f>
        <v>16.5</v>
      </c>
      <c r="C23" s="22">
        <f>(A23+B23)/2</f>
        <v>12.25</v>
      </c>
      <c r="D23" s="22">
        <f>COUNTIFS($B$4:$G$18,"&gt;=8",$B$4:$G$18,"&lt;16.5")</f>
        <v>17</v>
      </c>
      <c r="E23" s="22">
        <f>D23</f>
        <v>17</v>
      </c>
      <c r="F23" s="22">
        <f>D23/$D$31</f>
        <v>0.18888888888888888</v>
      </c>
      <c r="G23" s="29">
        <f>F23*1</f>
        <v>0.18888888888888888</v>
      </c>
      <c r="H23" s="22">
        <f>F23</f>
        <v>0.18888888888888888</v>
      </c>
      <c r="I23" s="29">
        <f>H23*1</f>
        <v>0.18888888888888888</v>
      </c>
    </row>
    <row r="24" spans="1:9" ht="15.75" thickBot="1" x14ac:dyDescent="0.3">
      <c r="A24" s="48">
        <f t="shared" ref="A24:A30" si="0">B23</f>
        <v>16.5</v>
      </c>
      <c r="B24" s="23">
        <f>A24+$K$14</f>
        <v>25</v>
      </c>
      <c r="C24" s="22">
        <f t="shared" ref="C24:C30" si="1">(A24+B24)/2</f>
        <v>20.75</v>
      </c>
      <c r="D24" s="22">
        <f>COUNTIFS($B$4:$G$18,"&gt;=16.5",$B$4:$G$18,"&lt;25")</f>
        <v>12</v>
      </c>
      <c r="E24" s="23">
        <f>E23+D24</f>
        <v>29</v>
      </c>
      <c r="F24" s="22">
        <f t="shared" ref="F24:F30" si="2">D24/$D$31</f>
        <v>0.13333333333333333</v>
      </c>
      <c r="G24" s="29">
        <f t="shared" ref="G24:G31" si="3">F24*1</f>
        <v>0.13333333333333333</v>
      </c>
      <c r="H24" s="23">
        <f>H23+F24</f>
        <v>0.32222222222222219</v>
      </c>
      <c r="I24" s="29">
        <f t="shared" ref="I24:I30" si="4">H24*1</f>
        <v>0.32222222222222219</v>
      </c>
    </row>
    <row r="25" spans="1:9" ht="15.75" thickBot="1" x14ac:dyDescent="0.3">
      <c r="A25" s="48">
        <f t="shared" si="0"/>
        <v>25</v>
      </c>
      <c r="B25" s="23">
        <f>A25+$K$14</f>
        <v>33.5</v>
      </c>
      <c r="C25" s="22">
        <f t="shared" si="1"/>
        <v>29.25</v>
      </c>
      <c r="D25" s="22">
        <f>COUNTIFS($B$4:$G$18,"&gt;=25",$B$4:$G$18,"&lt;33.5")</f>
        <v>12</v>
      </c>
      <c r="E25" s="23">
        <f>E24+D25</f>
        <v>41</v>
      </c>
      <c r="F25" s="22">
        <f t="shared" si="2"/>
        <v>0.13333333333333333</v>
      </c>
      <c r="G25" s="29">
        <f t="shared" si="3"/>
        <v>0.13333333333333333</v>
      </c>
      <c r="H25" s="23">
        <f t="shared" ref="H25:H30" si="5">H24+F25</f>
        <v>0.45555555555555549</v>
      </c>
      <c r="I25" s="29">
        <f t="shared" si="4"/>
        <v>0.45555555555555549</v>
      </c>
    </row>
    <row r="26" spans="1:9" ht="15.75" thickBot="1" x14ac:dyDescent="0.3">
      <c r="A26" s="48">
        <f t="shared" si="0"/>
        <v>33.5</v>
      </c>
      <c r="B26" s="23">
        <f t="shared" ref="B26:B30" si="6">A26+$K$14</f>
        <v>42</v>
      </c>
      <c r="C26" s="22">
        <f t="shared" si="1"/>
        <v>37.75</v>
      </c>
      <c r="D26" s="22">
        <f>COUNTIFS($B$4:$G$18,"&gt;=33.5",$B$4:$G$18,"&lt;42")</f>
        <v>7</v>
      </c>
      <c r="E26" s="23">
        <f>E25+D26</f>
        <v>48</v>
      </c>
      <c r="F26" s="22">
        <f t="shared" si="2"/>
        <v>7.7777777777777779E-2</v>
      </c>
      <c r="G26" s="29">
        <f t="shared" si="3"/>
        <v>7.7777777777777779E-2</v>
      </c>
      <c r="H26" s="23">
        <f t="shared" si="5"/>
        <v>0.53333333333333321</v>
      </c>
      <c r="I26" s="29">
        <f t="shared" si="4"/>
        <v>0.53333333333333321</v>
      </c>
    </row>
    <row r="27" spans="1:9" ht="15.75" thickBot="1" x14ac:dyDescent="0.3">
      <c r="A27" s="48">
        <f t="shared" si="0"/>
        <v>42</v>
      </c>
      <c r="B27" s="23">
        <f t="shared" si="6"/>
        <v>50.5</v>
      </c>
      <c r="C27" s="22">
        <f t="shared" si="1"/>
        <v>46.25</v>
      </c>
      <c r="D27" s="22">
        <f>COUNTIFS($B$4:$G$18,"&gt;=42",$B$4:$G$18,"&lt;50.5")</f>
        <v>8</v>
      </c>
      <c r="E27" s="23">
        <f t="shared" ref="E27:E30" si="7">E26+D27</f>
        <v>56</v>
      </c>
      <c r="F27" s="22">
        <f t="shared" si="2"/>
        <v>8.8888888888888892E-2</v>
      </c>
      <c r="G27" s="29">
        <f t="shared" si="3"/>
        <v>8.8888888888888892E-2</v>
      </c>
      <c r="H27" s="23">
        <f t="shared" si="5"/>
        <v>0.62222222222222212</v>
      </c>
      <c r="I27" s="29">
        <f t="shared" si="4"/>
        <v>0.62222222222222212</v>
      </c>
    </row>
    <row r="28" spans="1:9" ht="15.75" thickBot="1" x14ac:dyDescent="0.3">
      <c r="A28" s="28">
        <f t="shared" si="0"/>
        <v>50.5</v>
      </c>
      <c r="B28" s="23">
        <f t="shared" si="6"/>
        <v>59</v>
      </c>
      <c r="C28" s="22">
        <f>(A28+B28)/2</f>
        <v>54.75</v>
      </c>
      <c r="D28" s="22">
        <f>COUNTIFS($B$4:$G$18,"&gt;=50.5",$B$4:$G$18,"&lt;59")</f>
        <v>6</v>
      </c>
      <c r="E28" s="23">
        <f t="shared" si="7"/>
        <v>62</v>
      </c>
      <c r="F28" s="22">
        <f t="shared" si="2"/>
        <v>6.6666666666666666E-2</v>
      </c>
      <c r="G28" s="29">
        <f t="shared" si="3"/>
        <v>6.6666666666666666E-2</v>
      </c>
      <c r="H28" s="23">
        <f t="shared" si="5"/>
        <v>0.68888888888888877</v>
      </c>
      <c r="I28" s="29">
        <f t="shared" si="4"/>
        <v>0.68888888888888877</v>
      </c>
    </row>
    <row r="29" spans="1:9" ht="15.75" thickBot="1" x14ac:dyDescent="0.3">
      <c r="A29" s="48">
        <f t="shared" si="0"/>
        <v>59</v>
      </c>
      <c r="B29" s="23">
        <f t="shared" si="6"/>
        <v>67.5</v>
      </c>
      <c r="C29" s="22">
        <f t="shared" si="1"/>
        <v>63.25</v>
      </c>
      <c r="D29" s="22">
        <f>COUNTIFS($B$4:$G$18,"&gt;=59",$B$4:$G$18,"&lt;67.5")</f>
        <v>18</v>
      </c>
      <c r="E29" s="23">
        <f t="shared" si="7"/>
        <v>80</v>
      </c>
      <c r="F29" s="22">
        <f t="shared" si="2"/>
        <v>0.2</v>
      </c>
      <c r="G29" s="29">
        <f t="shared" si="3"/>
        <v>0.2</v>
      </c>
      <c r="H29" s="23">
        <f t="shared" si="5"/>
        <v>0.88888888888888884</v>
      </c>
      <c r="I29" s="29">
        <f t="shared" si="4"/>
        <v>0.88888888888888884</v>
      </c>
    </row>
    <row r="30" spans="1:9" ht="15.75" thickBot="1" x14ac:dyDescent="0.3">
      <c r="A30" s="20">
        <f t="shared" si="0"/>
        <v>67.5</v>
      </c>
      <c r="B30" s="23">
        <f t="shared" si="6"/>
        <v>76</v>
      </c>
      <c r="C30" s="28">
        <f t="shared" si="1"/>
        <v>71.75</v>
      </c>
      <c r="D30" s="28">
        <f>COUNTIFS($B$4:$G$18,"&gt;=67.5",$B$4:$G$18,"&lt;=76")</f>
        <v>10</v>
      </c>
      <c r="E30" s="44">
        <f t="shared" si="7"/>
        <v>90</v>
      </c>
      <c r="F30" s="28">
        <f t="shared" si="2"/>
        <v>0.1111111111111111</v>
      </c>
      <c r="G30" s="30">
        <f t="shared" si="3"/>
        <v>0.1111111111111111</v>
      </c>
      <c r="H30" s="23">
        <f t="shared" si="5"/>
        <v>1</v>
      </c>
      <c r="I30" s="29">
        <f t="shared" si="4"/>
        <v>1</v>
      </c>
    </row>
    <row r="31" spans="1:9" ht="15.75" thickBot="1" x14ac:dyDescent="0.3">
      <c r="A31" s="26"/>
      <c r="B31" s="26"/>
      <c r="C31" s="31" t="s">
        <v>24</v>
      </c>
      <c r="D31" s="32">
        <f>SUM(D23:D30)</f>
        <v>90</v>
      </c>
      <c r="E31" s="32"/>
      <c r="F31" s="33">
        <f>SUM(F23:F30)</f>
        <v>1</v>
      </c>
      <c r="G31" s="34">
        <f t="shared" si="3"/>
        <v>1</v>
      </c>
      <c r="H31" s="26"/>
      <c r="I31" s="26"/>
    </row>
  </sheetData>
  <mergeCells count="2">
    <mergeCell ref="F21:G21"/>
    <mergeCell ref="H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zoomScale="85" zoomScaleNormal="85" workbookViewId="0">
      <selection activeCell="G1" sqref="A1:G1"/>
    </sheetView>
  </sheetViews>
  <sheetFormatPr baseColWidth="10" defaultRowHeight="15" x14ac:dyDescent="0.25"/>
  <sheetData>
    <row r="1" spans="1:7" s="66" customFormat="1" ht="45.75" thickBot="1" x14ac:dyDescent="0.3">
      <c r="A1" s="106" t="s">
        <v>11</v>
      </c>
      <c r="B1" s="106"/>
      <c r="C1" s="94" t="s">
        <v>31</v>
      </c>
      <c r="D1" s="94" t="s">
        <v>27</v>
      </c>
      <c r="E1" s="94" t="s">
        <v>29</v>
      </c>
      <c r="F1" s="94" t="s">
        <v>30</v>
      </c>
      <c r="G1" s="94" t="s">
        <v>28</v>
      </c>
    </row>
    <row r="2" spans="1:7" x14ac:dyDescent="0.25">
      <c r="A2" s="27">
        <v>8</v>
      </c>
      <c r="B2" s="27">
        <v>16.5</v>
      </c>
      <c r="C2" s="27">
        <f>(A2+B2)/2</f>
        <v>12.25</v>
      </c>
      <c r="D2" s="27">
        <v>17</v>
      </c>
      <c r="E2" s="27">
        <f>D2</f>
        <v>17</v>
      </c>
      <c r="F2" s="87">
        <f>E2/$E$9</f>
        <v>0.18888888888888888</v>
      </c>
      <c r="G2" s="88">
        <v>0.18888888888888888</v>
      </c>
    </row>
    <row r="3" spans="1:7" x14ac:dyDescent="0.25">
      <c r="A3" s="24">
        <v>16.5</v>
      </c>
      <c r="B3" s="24">
        <v>25</v>
      </c>
      <c r="C3" s="24">
        <f t="shared" ref="C3:C9" si="0">(A3+B3)/2</f>
        <v>20.75</v>
      </c>
      <c r="D3" s="24">
        <v>14</v>
      </c>
      <c r="E3" s="24">
        <f>E2+D3</f>
        <v>31</v>
      </c>
      <c r="F3" s="89">
        <f t="shared" ref="F3:F9" si="1">E3/$E$9</f>
        <v>0.34444444444444444</v>
      </c>
      <c r="G3" s="90">
        <v>0.34444444444444444</v>
      </c>
    </row>
    <row r="4" spans="1:7" x14ac:dyDescent="0.25">
      <c r="A4" s="24">
        <v>25</v>
      </c>
      <c r="B4" s="24">
        <v>33.5</v>
      </c>
      <c r="C4" s="24">
        <f t="shared" si="0"/>
        <v>29.25</v>
      </c>
      <c r="D4" s="24">
        <v>10</v>
      </c>
      <c r="E4" s="24">
        <f t="shared" ref="E4:E9" si="2">E3+D4</f>
        <v>41</v>
      </c>
      <c r="F4" s="89">
        <f t="shared" si="1"/>
        <v>0.45555555555555555</v>
      </c>
      <c r="G4" s="90">
        <v>0.45555555555555555</v>
      </c>
    </row>
    <row r="5" spans="1:7" x14ac:dyDescent="0.25">
      <c r="A5" s="24">
        <v>33.5</v>
      </c>
      <c r="B5" s="24">
        <v>42</v>
      </c>
      <c r="C5" s="24">
        <f t="shared" si="0"/>
        <v>37.75</v>
      </c>
      <c r="D5" s="24">
        <v>8</v>
      </c>
      <c r="E5" s="24">
        <f t="shared" si="2"/>
        <v>49</v>
      </c>
      <c r="F5" s="89">
        <f t="shared" si="1"/>
        <v>0.5444444444444444</v>
      </c>
      <c r="G5" s="90">
        <v>0.5444444444444444</v>
      </c>
    </row>
    <row r="6" spans="1:7" x14ac:dyDescent="0.25">
      <c r="A6" s="24">
        <v>42</v>
      </c>
      <c r="B6" s="24">
        <v>50.5</v>
      </c>
      <c r="C6" s="24">
        <f t="shared" si="0"/>
        <v>46.25</v>
      </c>
      <c r="D6" s="24">
        <v>7</v>
      </c>
      <c r="E6" s="24">
        <f t="shared" si="2"/>
        <v>56</v>
      </c>
      <c r="F6" s="89">
        <f t="shared" si="1"/>
        <v>0.62222222222222223</v>
      </c>
      <c r="G6" s="90">
        <v>0.62222222222222223</v>
      </c>
    </row>
    <row r="7" spans="1:7" x14ac:dyDescent="0.25">
      <c r="A7" s="24">
        <v>50.5</v>
      </c>
      <c r="B7" s="24">
        <v>59</v>
      </c>
      <c r="C7" s="24">
        <f t="shared" si="0"/>
        <v>54.75</v>
      </c>
      <c r="D7" s="24">
        <v>10</v>
      </c>
      <c r="E7" s="24">
        <f t="shared" si="2"/>
        <v>66</v>
      </c>
      <c r="F7" s="89">
        <f t="shared" si="1"/>
        <v>0.73333333333333328</v>
      </c>
      <c r="G7" s="90">
        <v>0.73333333333333328</v>
      </c>
    </row>
    <row r="8" spans="1:7" x14ac:dyDescent="0.25">
      <c r="A8" s="24">
        <v>59</v>
      </c>
      <c r="B8" s="24">
        <v>67.5</v>
      </c>
      <c r="C8" s="24">
        <f t="shared" si="0"/>
        <v>63.25</v>
      </c>
      <c r="D8" s="24">
        <v>14</v>
      </c>
      <c r="E8" s="24">
        <f t="shared" si="2"/>
        <v>80</v>
      </c>
      <c r="F8" s="89">
        <f t="shared" si="1"/>
        <v>0.88888888888888884</v>
      </c>
      <c r="G8" s="90">
        <v>0.88888888888888884</v>
      </c>
    </row>
    <row r="9" spans="1:7" ht="15.75" thickBot="1" x14ac:dyDescent="0.3">
      <c r="A9" s="25">
        <v>67.5</v>
      </c>
      <c r="B9" s="25">
        <v>76</v>
      </c>
      <c r="C9" s="25">
        <f t="shared" si="0"/>
        <v>71.75</v>
      </c>
      <c r="D9" s="25">
        <v>10</v>
      </c>
      <c r="E9" s="25">
        <f t="shared" si="2"/>
        <v>90</v>
      </c>
      <c r="F9" s="91">
        <f t="shared" si="1"/>
        <v>1</v>
      </c>
      <c r="G9" s="92">
        <v>1</v>
      </c>
    </row>
    <row r="10" spans="1:7" ht="15.75" thickBot="1" x14ac:dyDescent="0.3">
      <c r="C10" s="7" t="s">
        <v>26</v>
      </c>
      <c r="D10" s="7">
        <v>0</v>
      </c>
      <c r="E10" s="7"/>
      <c r="F10" s="7"/>
      <c r="G10" s="62">
        <v>1</v>
      </c>
    </row>
  </sheetData>
  <sortState xmlns:xlrd2="http://schemas.microsoft.com/office/spreadsheetml/2017/richdata2" ref="C2:C9">
    <sortCondition ref="C2"/>
  </sortState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29"/>
  <sheetViews>
    <sheetView zoomScale="98" zoomScaleNormal="98" workbookViewId="0">
      <selection activeCell="P4" sqref="P4:Y5"/>
    </sheetView>
  </sheetViews>
  <sheetFormatPr baseColWidth="10" defaultRowHeight="15" x14ac:dyDescent="0.25"/>
  <cols>
    <col min="4" max="4" width="10.5703125" bestFit="1" customWidth="1"/>
    <col min="12" max="12" width="13.28515625" bestFit="1" customWidth="1"/>
    <col min="16" max="25" width="3.5703125" bestFit="1" customWidth="1"/>
  </cols>
  <sheetData>
    <row r="2" spans="2:25" x14ac:dyDescent="0.25">
      <c r="B2" s="10" t="s">
        <v>12</v>
      </c>
      <c r="J2" s="10"/>
    </row>
    <row r="3" spans="2:25" ht="15.75" thickBot="1" x14ac:dyDescent="0.3"/>
    <row r="4" spans="2:25" ht="24" thickBot="1" x14ac:dyDescent="0.3">
      <c r="P4" s="80">
        <v>1</v>
      </c>
      <c r="Q4" s="80">
        <v>2</v>
      </c>
      <c r="R4" s="80">
        <v>2</v>
      </c>
      <c r="S4" s="80">
        <v>4</v>
      </c>
      <c r="T4" s="80">
        <v>6</v>
      </c>
      <c r="U4" s="80">
        <v>1</v>
      </c>
      <c r="V4" s="80">
        <v>6</v>
      </c>
      <c r="W4" s="80">
        <v>1</v>
      </c>
      <c r="X4" s="80">
        <v>2</v>
      </c>
      <c r="Y4" s="80">
        <v>3</v>
      </c>
    </row>
    <row r="5" spans="2:25" ht="24" thickBot="1" x14ac:dyDescent="0.3">
      <c r="P5" s="80">
        <v>5</v>
      </c>
      <c r="Q5" s="80">
        <v>2</v>
      </c>
      <c r="R5" s="80">
        <v>6</v>
      </c>
      <c r="S5" s="80">
        <v>3</v>
      </c>
      <c r="T5" s="80">
        <v>1</v>
      </c>
      <c r="U5" s="80">
        <v>4</v>
      </c>
      <c r="V5" s="80">
        <v>1</v>
      </c>
      <c r="W5" s="80">
        <v>6</v>
      </c>
      <c r="X5" s="80">
        <v>1</v>
      </c>
      <c r="Y5" s="80">
        <v>2</v>
      </c>
    </row>
    <row r="15" spans="2:25" ht="15.75" thickBot="1" x14ac:dyDescent="0.3"/>
    <row r="16" spans="2:25" x14ac:dyDescent="0.25">
      <c r="L16" s="45" t="s">
        <v>20</v>
      </c>
      <c r="M16" s="27">
        <f>MAX(P4:Y5)</f>
        <v>6</v>
      </c>
    </row>
    <row r="17" spans="1:13" x14ac:dyDescent="0.25">
      <c r="L17" s="46" t="s">
        <v>21</v>
      </c>
      <c r="M17" s="24">
        <f>MIN(P4:Y5)</f>
        <v>1</v>
      </c>
    </row>
    <row r="18" spans="1:13" x14ac:dyDescent="0.25">
      <c r="L18" s="46" t="s">
        <v>3</v>
      </c>
      <c r="M18" s="24">
        <f>M16-M17</f>
        <v>5</v>
      </c>
    </row>
    <row r="19" spans="1:13" x14ac:dyDescent="0.25">
      <c r="L19" s="46" t="s">
        <v>22</v>
      </c>
      <c r="M19" s="24">
        <f>COUNT(P4:Y5)</f>
        <v>20</v>
      </c>
    </row>
    <row r="20" spans="1:13" ht="15.75" thickBot="1" x14ac:dyDescent="0.3">
      <c r="L20" s="46" t="s">
        <v>23</v>
      </c>
      <c r="M20" s="24">
        <f>ROUNDUP(1+3.322*LOG(M19),0)</f>
        <v>6</v>
      </c>
    </row>
    <row r="21" spans="1:13" ht="60.75" thickBot="1" x14ac:dyDescent="0.3">
      <c r="A21" s="21" t="s">
        <v>18</v>
      </c>
      <c r="B21" s="21" t="s">
        <v>19</v>
      </c>
      <c r="C21" s="21" t="s">
        <v>13</v>
      </c>
      <c r="D21" s="21" t="s">
        <v>14</v>
      </c>
      <c r="E21" s="21" t="s">
        <v>15</v>
      </c>
      <c r="F21" s="104" t="s">
        <v>16</v>
      </c>
      <c r="G21" s="104"/>
      <c r="H21" s="104" t="s">
        <v>17</v>
      </c>
      <c r="I21" s="104"/>
      <c r="L21" s="47" t="s">
        <v>11</v>
      </c>
      <c r="M21" s="25">
        <f>M18/M20</f>
        <v>0.83333333333333337</v>
      </c>
    </row>
    <row r="22" spans="1:13" ht="15.75" thickBot="1" x14ac:dyDescent="0.3">
      <c r="A22" s="81"/>
      <c r="B22" s="65"/>
      <c r="C22" s="65"/>
      <c r="D22" s="65"/>
      <c r="E22" s="65"/>
      <c r="F22" s="65"/>
      <c r="G22" s="65"/>
      <c r="H22" s="65"/>
      <c r="I22" s="65"/>
      <c r="L22" s="26"/>
      <c r="M22" s="26"/>
    </row>
    <row r="23" spans="1:13" x14ac:dyDescent="0.25">
      <c r="A23" s="19">
        <f>M17</f>
        <v>1</v>
      </c>
      <c r="B23" s="22">
        <f>A23+$M$21</f>
        <v>1.8333333333333335</v>
      </c>
      <c r="C23" s="22">
        <f>(A23+B23)/2</f>
        <v>1.4166666666666667</v>
      </c>
      <c r="D23" s="22">
        <f>COUNTIFS($P$4:$Y$5,"&gt;=1",$P$4:$Y$5,"&lt;1.8333333")</f>
        <v>6</v>
      </c>
      <c r="E23" s="22">
        <f>D23</f>
        <v>6</v>
      </c>
      <c r="F23" s="22">
        <f t="shared" ref="F23:F28" si="0">D23/$D$29</f>
        <v>0.3</v>
      </c>
      <c r="G23" s="29">
        <f>F23*1</f>
        <v>0.3</v>
      </c>
      <c r="H23" s="22">
        <f>F23</f>
        <v>0.3</v>
      </c>
      <c r="I23" s="29">
        <f>H23*1</f>
        <v>0.3</v>
      </c>
    </row>
    <row r="24" spans="1:13" x14ac:dyDescent="0.25">
      <c r="A24" s="28">
        <f>B23</f>
        <v>1.8333333333333335</v>
      </c>
      <c r="B24" s="22">
        <f t="shared" ref="B24:B28" si="1">A24+$M$21</f>
        <v>2.666666666666667</v>
      </c>
      <c r="C24" s="22">
        <f t="shared" ref="C24:C27" si="2">(A24+B24)/2</f>
        <v>2.25</v>
      </c>
      <c r="D24" s="22">
        <f>COUNTIFS($P$4:$Y$5,"&gt;=1.8333333",$P$4:$Y$5,"&lt;2.6666667")</f>
        <v>5</v>
      </c>
      <c r="E24" s="23">
        <f>E23+D24</f>
        <v>11</v>
      </c>
      <c r="F24" s="22">
        <f t="shared" si="0"/>
        <v>0.25</v>
      </c>
      <c r="G24" s="29">
        <f t="shared" ref="G24:G29" si="3">F24*1</f>
        <v>0.25</v>
      </c>
      <c r="H24" s="23">
        <f>H23+F24</f>
        <v>0.55000000000000004</v>
      </c>
      <c r="I24" s="29">
        <f t="shared" ref="I24:I28" si="4">H24*1</f>
        <v>0.55000000000000004</v>
      </c>
    </row>
    <row r="25" spans="1:13" x14ac:dyDescent="0.25">
      <c r="A25" s="28">
        <f>B24</f>
        <v>2.666666666666667</v>
      </c>
      <c r="B25" s="22">
        <f t="shared" si="1"/>
        <v>3.5000000000000004</v>
      </c>
      <c r="C25" s="22">
        <f t="shared" si="2"/>
        <v>3.0833333333333339</v>
      </c>
      <c r="D25" s="22">
        <f>COUNTIFS($P$4:$Y$5,"&gt;=2.6666667",$P$4:$Y$5,"&lt;3.5")</f>
        <v>2</v>
      </c>
      <c r="E25" s="23">
        <f>E24+D25</f>
        <v>13</v>
      </c>
      <c r="F25" s="22">
        <f t="shared" si="0"/>
        <v>0.1</v>
      </c>
      <c r="G25" s="29">
        <f t="shared" si="3"/>
        <v>0.1</v>
      </c>
      <c r="H25" s="23">
        <f t="shared" ref="H25:H28" si="5">H24+F25</f>
        <v>0.65</v>
      </c>
      <c r="I25" s="29">
        <f t="shared" si="4"/>
        <v>0.65</v>
      </c>
    </row>
    <row r="26" spans="1:13" x14ac:dyDescent="0.25">
      <c r="A26" s="28">
        <f>B25</f>
        <v>3.5000000000000004</v>
      </c>
      <c r="B26" s="22">
        <f t="shared" si="1"/>
        <v>4.3333333333333339</v>
      </c>
      <c r="C26" s="22">
        <f t="shared" si="2"/>
        <v>3.916666666666667</v>
      </c>
      <c r="D26" s="22">
        <f>COUNTIFS($P$4:$Y$5,"&gt;=3.5",$P$4:$Y$5,"&lt;4.3333333")</f>
        <v>2</v>
      </c>
      <c r="E26" s="23">
        <f>E25+D26</f>
        <v>15</v>
      </c>
      <c r="F26" s="22">
        <f t="shared" si="0"/>
        <v>0.1</v>
      </c>
      <c r="G26" s="29">
        <f t="shared" si="3"/>
        <v>0.1</v>
      </c>
      <c r="H26" s="23">
        <f t="shared" si="5"/>
        <v>0.75</v>
      </c>
      <c r="I26" s="29">
        <f t="shared" si="4"/>
        <v>0.75</v>
      </c>
    </row>
    <row r="27" spans="1:13" x14ac:dyDescent="0.25">
      <c r="A27" s="28">
        <f>B26</f>
        <v>4.3333333333333339</v>
      </c>
      <c r="B27" s="22">
        <f t="shared" si="1"/>
        <v>5.166666666666667</v>
      </c>
      <c r="C27" s="22">
        <f t="shared" si="2"/>
        <v>4.75</v>
      </c>
      <c r="D27" s="22">
        <f>COUNTIFS($P$4:$Y$5,"&gt;=4.3333333",$P$4:$Y$5,"&lt;5.1666667")</f>
        <v>1</v>
      </c>
      <c r="E27" s="23">
        <f t="shared" ref="E27:E28" si="6">E26+D27</f>
        <v>16</v>
      </c>
      <c r="F27" s="22">
        <f t="shared" si="0"/>
        <v>0.05</v>
      </c>
      <c r="G27" s="29">
        <f t="shared" si="3"/>
        <v>0.05</v>
      </c>
      <c r="H27" s="23">
        <f t="shared" si="5"/>
        <v>0.8</v>
      </c>
      <c r="I27" s="29">
        <f t="shared" si="4"/>
        <v>0.8</v>
      </c>
    </row>
    <row r="28" spans="1:13" ht="15.75" thickBot="1" x14ac:dyDescent="0.3">
      <c r="A28" s="20">
        <f>B27</f>
        <v>5.166666666666667</v>
      </c>
      <c r="B28" s="22">
        <f t="shared" si="1"/>
        <v>6</v>
      </c>
      <c r="C28" s="28">
        <f>(A28+B28)/2</f>
        <v>5.5833333333333339</v>
      </c>
      <c r="D28" s="28">
        <f>COUNTIFS($P$4:$Y$5,"&gt;=5.1666667",$P$4:$Y$5,"6")</f>
        <v>4</v>
      </c>
      <c r="E28" s="44">
        <f t="shared" si="6"/>
        <v>20</v>
      </c>
      <c r="F28" s="28">
        <f t="shared" si="0"/>
        <v>0.2</v>
      </c>
      <c r="G28" s="30">
        <f t="shared" si="3"/>
        <v>0.2</v>
      </c>
      <c r="H28" s="23">
        <f t="shared" si="5"/>
        <v>1</v>
      </c>
      <c r="I28" s="29">
        <f t="shared" si="4"/>
        <v>1</v>
      </c>
    </row>
    <row r="29" spans="1:13" ht="15.75" thickBot="1" x14ac:dyDescent="0.3">
      <c r="A29" s="26"/>
      <c r="B29" s="26"/>
      <c r="C29" s="31" t="s">
        <v>24</v>
      </c>
      <c r="D29" s="33">
        <f>SUM(D23:D28)</f>
        <v>20</v>
      </c>
      <c r="E29" s="32"/>
      <c r="F29" s="33">
        <f>SUM(F23:F28)</f>
        <v>1</v>
      </c>
      <c r="G29" s="34">
        <f t="shared" si="3"/>
        <v>1</v>
      </c>
      <c r="H29" s="26"/>
      <c r="I29" s="26"/>
    </row>
  </sheetData>
  <mergeCells count="2">
    <mergeCell ref="F21:G21"/>
    <mergeCell ref="H21:I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workbookViewId="0">
      <selection activeCell="G1" sqref="A1:G1"/>
    </sheetView>
  </sheetViews>
  <sheetFormatPr baseColWidth="10" defaultRowHeight="15" x14ac:dyDescent="0.25"/>
  <sheetData>
    <row r="1" spans="1:7" ht="45.75" thickBot="1" x14ac:dyDescent="0.3">
      <c r="A1" s="107" t="s">
        <v>11</v>
      </c>
      <c r="B1" s="107"/>
      <c r="C1" s="85" t="s">
        <v>31</v>
      </c>
      <c r="D1" s="85" t="s">
        <v>27</v>
      </c>
      <c r="E1" s="85" t="s">
        <v>29</v>
      </c>
      <c r="F1" s="85" t="s">
        <v>30</v>
      </c>
      <c r="G1" s="85" t="s">
        <v>28</v>
      </c>
    </row>
    <row r="2" spans="1:7" x14ac:dyDescent="0.25">
      <c r="A2" s="27">
        <v>1</v>
      </c>
      <c r="B2" s="27">
        <v>1.8333333333333335</v>
      </c>
      <c r="C2" s="27">
        <f>(A2+B2)/2</f>
        <v>1.4166666666666667</v>
      </c>
      <c r="D2" s="27">
        <v>6</v>
      </c>
      <c r="E2" s="27">
        <f>D2</f>
        <v>6</v>
      </c>
      <c r="F2" s="87">
        <f>E2/$E$7</f>
        <v>0.3</v>
      </c>
      <c r="G2" s="88">
        <v>0.3</v>
      </c>
    </row>
    <row r="3" spans="1:7" x14ac:dyDescent="0.25">
      <c r="A3" s="24">
        <v>1.8333333333333335</v>
      </c>
      <c r="B3" s="24">
        <v>2.666666666666667</v>
      </c>
      <c r="C3" s="24">
        <f t="shared" ref="C3:C7" si="0">(A3+B3)/2</f>
        <v>2.25</v>
      </c>
      <c r="D3" s="24">
        <v>5</v>
      </c>
      <c r="E3" s="24">
        <f>E2+D3</f>
        <v>11</v>
      </c>
      <c r="F3" s="89">
        <f t="shared" ref="F3:F7" si="1">E3/$E$7</f>
        <v>0.55000000000000004</v>
      </c>
      <c r="G3" s="90">
        <v>0.55000000000000004</v>
      </c>
    </row>
    <row r="4" spans="1:7" x14ac:dyDescent="0.25">
      <c r="A4" s="24">
        <v>2.666666666666667</v>
      </c>
      <c r="B4" s="24">
        <v>3.5000000000000004</v>
      </c>
      <c r="C4" s="24">
        <f t="shared" si="0"/>
        <v>3.0833333333333339</v>
      </c>
      <c r="D4" s="24">
        <v>2</v>
      </c>
      <c r="E4" s="24">
        <f t="shared" ref="E4:E7" si="2">E3+D4</f>
        <v>13</v>
      </c>
      <c r="F4" s="89">
        <f t="shared" si="1"/>
        <v>0.65</v>
      </c>
      <c r="G4" s="90">
        <v>0.65</v>
      </c>
    </row>
    <row r="5" spans="1:7" x14ac:dyDescent="0.25">
      <c r="A5" s="24">
        <v>3.5000000000000004</v>
      </c>
      <c r="B5" s="24">
        <v>4.3333333333333339</v>
      </c>
      <c r="C5" s="24">
        <f t="shared" si="0"/>
        <v>3.916666666666667</v>
      </c>
      <c r="D5" s="24">
        <v>2</v>
      </c>
      <c r="E5" s="24">
        <f t="shared" si="2"/>
        <v>15</v>
      </c>
      <c r="F5" s="89">
        <f t="shared" si="1"/>
        <v>0.75</v>
      </c>
      <c r="G5" s="90">
        <v>0.75</v>
      </c>
    </row>
    <row r="6" spans="1:7" x14ac:dyDescent="0.25">
      <c r="A6" s="24">
        <v>4.3333333333333339</v>
      </c>
      <c r="B6" s="24">
        <v>5.166666666666667</v>
      </c>
      <c r="C6" s="24">
        <f t="shared" si="0"/>
        <v>4.75</v>
      </c>
      <c r="D6" s="24">
        <v>1</v>
      </c>
      <c r="E6" s="24">
        <f t="shared" si="2"/>
        <v>16</v>
      </c>
      <c r="F6" s="89">
        <f t="shared" si="1"/>
        <v>0.8</v>
      </c>
      <c r="G6" s="90">
        <v>0.8</v>
      </c>
    </row>
    <row r="7" spans="1:7" ht="15.75" thickBot="1" x14ac:dyDescent="0.3">
      <c r="A7" s="25">
        <v>5.166666666666667</v>
      </c>
      <c r="B7" s="25">
        <v>6</v>
      </c>
      <c r="C7" s="25">
        <f t="shared" si="0"/>
        <v>5.5833333333333339</v>
      </c>
      <c r="D7" s="25">
        <v>4</v>
      </c>
      <c r="E7" s="25">
        <f t="shared" si="2"/>
        <v>20</v>
      </c>
      <c r="F7" s="91">
        <f t="shared" si="1"/>
        <v>1</v>
      </c>
      <c r="G7" s="92">
        <v>1</v>
      </c>
    </row>
    <row r="8" spans="1:7" ht="15.75" thickBot="1" x14ac:dyDescent="0.3">
      <c r="C8" s="7" t="s">
        <v>26</v>
      </c>
      <c r="D8" s="7">
        <v>0</v>
      </c>
      <c r="E8" s="7"/>
      <c r="F8" s="7"/>
      <c r="G8" s="62">
        <v>1</v>
      </c>
    </row>
  </sheetData>
  <sortState xmlns:xlrd2="http://schemas.microsoft.com/office/spreadsheetml/2017/richdata2" ref="C2:C7">
    <sortCondition ref="C2"/>
  </sortState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V29"/>
  <sheetViews>
    <sheetView topLeftCell="B1" zoomScale="95" zoomScaleNormal="95" workbookViewId="0">
      <selection activeCell="B23" sqref="B23:C28"/>
    </sheetView>
  </sheetViews>
  <sheetFormatPr baseColWidth="10" defaultRowHeight="15" x14ac:dyDescent="0.25"/>
  <cols>
    <col min="12" max="12" width="13.28515625" bestFit="1" customWidth="1"/>
    <col min="13" max="13" width="12.5703125" bestFit="1" customWidth="1"/>
    <col min="14" max="22" width="6.7109375" bestFit="1" customWidth="1"/>
  </cols>
  <sheetData>
    <row r="2" spans="2:22" x14ac:dyDescent="0.25">
      <c r="B2" s="10" t="s">
        <v>12</v>
      </c>
    </row>
    <row r="3" spans="2:22" x14ac:dyDescent="0.25">
      <c r="B3" s="10"/>
    </row>
    <row r="4" spans="2:22" ht="15.75" thickBot="1" x14ac:dyDescent="0.3"/>
    <row r="5" spans="2:22" ht="24" thickBot="1" x14ac:dyDescent="0.3">
      <c r="M5" s="80">
        <v>2.8</v>
      </c>
      <c r="N5" s="80">
        <v>3.2</v>
      </c>
      <c r="O5" s="80">
        <v>3.8</v>
      </c>
      <c r="P5" s="80">
        <v>2.5</v>
      </c>
      <c r="Q5" s="80">
        <v>2.7</v>
      </c>
      <c r="R5" s="80">
        <v>2.9</v>
      </c>
      <c r="S5" s="80">
        <v>3.5</v>
      </c>
      <c r="T5" s="80">
        <v>3</v>
      </c>
      <c r="U5" s="80">
        <v>3.1</v>
      </c>
      <c r="V5" s="80">
        <v>2.2000000000000002</v>
      </c>
    </row>
    <row r="6" spans="2:22" ht="24" thickBot="1" x14ac:dyDescent="0.3">
      <c r="M6" s="80">
        <v>3</v>
      </c>
      <c r="N6" s="80">
        <v>2.6</v>
      </c>
      <c r="O6" s="80">
        <v>1.8</v>
      </c>
      <c r="P6" s="80">
        <v>3.3</v>
      </c>
      <c r="Q6" s="80">
        <v>2.9</v>
      </c>
      <c r="R6" s="80">
        <v>3.7</v>
      </c>
      <c r="S6" s="80">
        <v>1.9</v>
      </c>
      <c r="T6" s="80">
        <v>2.6</v>
      </c>
      <c r="U6" s="80">
        <v>3.5</v>
      </c>
      <c r="V6" s="80">
        <v>2.2999999999999998</v>
      </c>
    </row>
    <row r="15" spans="2:22" ht="15.75" thickBot="1" x14ac:dyDescent="0.3"/>
    <row r="16" spans="2:22" x14ac:dyDescent="0.25">
      <c r="L16" s="45" t="s">
        <v>20</v>
      </c>
      <c r="M16" s="27">
        <f>MAX(M5:V6)</f>
        <v>3.8</v>
      </c>
    </row>
    <row r="17" spans="1:13" x14ac:dyDescent="0.25">
      <c r="L17" s="46" t="s">
        <v>21</v>
      </c>
      <c r="M17" s="24">
        <f>MIN(M5:V6)</f>
        <v>1.8</v>
      </c>
    </row>
    <row r="18" spans="1:13" x14ac:dyDescent="0.25">
      <c r="L18" s="46" t="s">
        <v>3</v>
      </c>
      <c r="M18" s="24">
        <f>M16-M17</f>
        <v>1.9999999999999998</v>
      </c>
    </row>
    <row r="19" spans="1:13" x14ac:dyDescent="0.25">
      <c r="L19" s="46" t="s">
        <v>22</v>
      </c>
      <c r="M19" s="24">
        <f>COUNT(M5:V6)</f>
        <v>20</v>
      </c>
    </row>
    <row r="20" spans="1:13" ht="15.75" thickBot="1" x14ac:dyDescent="0.3">
      <c r="L20" s="46" t="s">
        <v>23</v>
      </c>
      <c r="M20" s="24">
        <f>ROUNDUP(1+3.322*LOG(M19),0)</f>
        <v>6</v>
      </c>
    </row>
    <row r="21" spans="1:13" ht="60.75" thickBot="1" x14ac:dyDescent="0.3">
      <c r="A21" s="60" t="s">
        <v>18</v>
      </c>
      <c r="B21" s="21" t="s">
        <v>19</v>
      </c>
      <c r="C21" s="21" t="s">
        <v>13</v>
      </c>
      <c r="D21" s="21" t="s">
        <v>14</v>
      </c>
      <c r="E21" s="21" t="s">
        <v>15</v>
      </c>
      <c r="F21" s="104" t="s">
        <v>16</v>
      </c>
      <c r="G21" s="104"/>
      <c r="H21" s="104" t="s">
        <v>17</v>
      </c>
      <c r="I21" s="104"/>
      <c r="L21" s="47" t="s">
        <v>11</v>
      </c>
      <c r="M21" s="25">
        <f>M18/M20</f>
        <v>0.33333333333333331</v>
      </c>
    </row>
    <row r="22" spans="1:13" x14ac:dyDescent="0.25">
      <c r="A22" s="82"/>
      <c r="B22" s="64"/>
      <c r="C22" s="65"/>
      <c r="D22" s="65"/>
      <c r="E22" s="65"/>
      <c r="F22" s="65"/>
      <c r="G22" s="65"/>
      <c r="H22" s="65"/>
      <c r="I22" s="65"/>
      <c r="L22" s="26"/>
      <c r="M22" s="26"/>
    </row>
    <row r="23" spans="1:13" x14ac:dyDescent="0.25">
      <c r="A23" s="61">
        <f>M17</f>
        <v>1.8</v>
      </c>
      <c r="B23" s="41">
        <f>A23+$M$21</f>
        <v>2.1333333333333333</v>
      </c>
      <c r="C23" s="22">
        <f>(A23+B23)/2</f>
        <v>1.9666666666666668</v>
      </c>
      <c r="D23" s="22">
        <f>COUNTIFS($M$5:$V$6,"&gt;=1.8",$M$5:$V$6,"&lt;2.13333333")</f>
        <v>2</v>
      </c>
      <c r="E23" s="22">
        <f>D23</f>
        <v>2</v>
      </c>
      <c r="F23" s="22">
        <f t="shared" ref="F23:F28" si="0">D23/$D$29</f>
        <v>0.1</v>
      </c>
      <c r="G23" s="29">
        <f>F23*1</f>
        <v>0.1</v>
      </c>
      <c r="H23" s="22">
        <f>F23</f>
        <v>0.1</v>
      </c>
      <c r="I23" s="29">
        <f>H23*1</f>
        <v>0.1</v>
      </c>
    </row>
    <row r="24" spans="1:13" x14ac:dyDescent="0.25">
      <c r="A24" s="61">
        <f>B23</f>
        <v>2.1333333333333333</v>
      </c>
      <c r="B24" s="41">
        <f t="shared" ref="B24:B28" si="1">A24+$M$21</f>
        <v>2.4666666666666668</v>
      </c>
      <c r="C24" s="22">
        <f t="shared" ref="C24:C27" si="2">(A24+B24)/2</f>
        <v>2.2999999999999998</v>
      </c>
      <c r="D24" s="22">
        <f>COUNTIFS($M$5:$V$6,"&gt;=2.13333333",$M$5:$V$6,"&lt;2.46666667")</f>
        <v>2</v>
      </c>
      <c r="E24" s="23">
        <f>E23+D24</f>
        <v>4</v>
      </c>
      <c r="F24" s="22">
        <f t="shared" si="0"/>
        <v>0.1</v>
      </c>
      <c r="G24" s="29">
        <f t="shared" ref="G24:G29" si="3">F24*1</f>
        <v>0.1</v>
      </c>
      <c r="H24" s="23">
        <f>H23+F24</f>
        <v>0.2</v>
      </c>
      <c r="I24" s="29">
        <f t="shared" ref="I24:I28" si="4">H24*1</f>
        <v>0.2</v>
      </c>
    </row>
    <row r="25" spans="1:13" x14ac:dyDescent="0.25">
      <c r="A25" s="61">
        <f>B24</f>
        <v>2.4666666666666668</v>
      </c>
      <c r="B25" s="41">
        <f t="shared" si="1"/>
        <v>2.8000000000000003</v>
      </c>
      <c r="C25" s="22">
        <f t="shared" si="2"/>
        <v>2.6333333333333337</v>
      </c>
      <c r="D25" s="22">
        <f>COUNTIFS($M$5:$V$6,"&gt;=2.46666667",$M$5:$V$6,"&lt;2.8")</f>
        <v>4</v>
      </c>
      <c r="E25" s="23">
        <f>E24+D25</f>
        <v>8</v>
      </c>
      <c r="F25" s="22">
        <f t="shared" si="0"/>
        <v>0.2</v>
      </c>
      <c r="G25" s="29">
        <f t="shared" si="3"/>
        <v>0.2</v>
      </c>
      <c r="H25" s="23">
        <f t="shared" ref="H25:H28" si="5">H24+F25</f>
        <v>0.4</v>
      </c>
      <c r="I25" s="29">
        <f t="shared" si="4"/>
        <v>0.4</v>
      </c>
    </row>
    <row r="26" spans="1:13" x14ac:dyDescent="0.25">
      <c r="A26" s="61">
        <f>B25</f>
        <v>2.8000000000000003</v>
      </c>
      <c r="B26" s="41">
        <f t="shared" si="1"/>
        <v>3.1333333333333337</v>
      </c>
      <c r="C26" s="22">
        <f t="shared" si="2"/>
        <v>2.9666666666666668</v>
      </c>
      <c r="D26" s="22">
        <f>COUNTIFS($M$5:$V$6,"&gt;=2.8",$M$5:$V$6,"&lt;3.13333333")</f>
        <v>6</v>
      </c>
      <c r="E26" s="23">
        <f>E25+D26</f>
        <v>14</v>
      </c>
      <c r="F26" s="22">
        <f t="shared" si="0"/>
        <v>0.3</v>
      </c>
      <c r="G26" s="29">
        <f t="shared" si="3"/>
        <v>0.3</v>
      </c>
      <c r="H26" s="23">
        <f t="shared" si="5"/>
        <v>0.7</v>
      </c>
      <c r="I26" s="29">
        <f t="shared" si="4"/>
        <v>0.7</v>
      </c>
    </row>
    <row r="27" spans="1:13" ht="15.75" thickBot="1" x14ac:dyDescent="0.3">
      <c r="A27" s="61">
        <f>B26</f>
        <v>3.1333333333333337</v>
      </c>
      <c r="B27" s="41">
        <f t="shared" si="1"/>
        <v>3.4666666666666672</v>
      </c>
      <c r="C27" s="22">
        <f t="shared" si="2"/>
        <v>3.3000000000000007</v>
      </c>
      <c r="D27" s="22">
        <f>COUNTIFS($M$5:$V$6,"&gt;=3.13333333",$M$5:$V$6,"&lt;3.4666667")</f>
        <v>2</v>
      </c>
      <c r="E27" s="44">
        <f t="shared" ref="E27:E28" si="6">E26+D27</f>
        <v>16</v>
      </c>
      <c r="F27" s="22">
        <f t="shared" si="0"/>
        <v>0.1</v>
      </c>
      <c r="G27" s="29">
        <f t="shared" si="3"/>
        <v>0.1</v>
      </c>
      <c r="H27" s="23">
        <f t="shared" si="5"/>
        <v>0.79999999999999993</v>
      </c>
      <c r="I27" s="29">
        <f t="shared" si="4"/>
        <v>0.79999999999999993</v>
      </c>
    </row>
    <row r="28" spans="1:13" ht="15.75" thickBot="1" x14ac:dyDescent="0.3">
      <c r="A28" s="61">
        <f>B27</f>
        <v>3.4666666666666672</v>
      </c>
      <c r="B28" s="41">
        <f t="shared" si="1"/>
        <v>3.8000000000000007</v>
      </c>
      <c r="C28" s="28">
        <f>(A28+B28)/2</f>
        <v>3.6333333333333337</v>
      </c>
      <c r="D28" s="28">
        <f>COUNTIFS($M$5:$V$6,"&gt;=3.4666667",$M$5:$V$6,"&lt;=3.8")</f>
        <v>4</v>
      </c>
      <c r="E28" s="48">
        <f t="shared" si="6"/>
        <v>20</v>
      </c>
      <c r="F28" s="28">
        <f t="shared" si="0"/>
        <v>0.2</v>
      </c>
      <c r="G28" s="30">
        <f t="shared" si="3"/>
        <v>0.2</v>
      </c>
      <c r="H28" s="23">
        <f t="shared" si="5"/>
        <v>1</v>
      </c>
      <c r="I28" s="29">
        <f t="shared" si="4"/>
        <v>1</v>
      </c>
    </row>
    <row r="29" spans="1:13" ht="15.75" thickBot="1" x14ac:dyDescent="0.3">
      <c r="A29" s="26"/>
      <c r="B29" s="26"/>
      <c r="C29" s="31" t="s">
        <v>24</v>
      </c>
      <c r="D29" s="31">
        <f>SUM(D23:D28)</f>
        <v>20</v>
      </c>
      <c r="E29" s="26"/>
      <c r="F29" s="35">
        <f>SUM(F23:F28)</f>
        <v>1</v>
      </c>
      <c r="G29" s="34">
        <f t="shared" si="3"/>
        <v>1</v>
      </c>
      <c r="H29" s="26"/>
      <c r="I29" s="26"/>
    </row>
  </sheetData>
  <mergeCells count="2">
    <mergeCell ref="F21:G21"/>
    <mergeCell ref="H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Practica-1</vt:lpstr>
      <vt:lpstr>Practica-1 grafico</vt:lpstr>
      <vt:lpstr>Practica-2</vt:lpstr>
      <vt:lpstr>Practica-2 grafico</vt:lpstr>
      <vt:lpstr>Práctica-3</vt:lpstr>
      <vt:lpstr>Practica-3 grafico</vt:lpstr>
      <vt:lpstr>Practica-4</vt:lpstr>
      <vt:lpstr>Practica-4 grafico</vt:lpstr>
      <vt:lpstr>Practica-5</vt:lpstr>
      <vt:lpstr>Practica-5 grafico</vt:lpstr>
      <vt:lpstr>Practica-6</vt:lpstr>
      <vt:lpstr>Practica-6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Andrea</cp:lastModifiedBy>
  <dcterms:created xsi:type="dcterms:W3CDTF">2022-10-16T07:47:18Z</dcterms:created>
  <dcterms:modified xsi:type="dcterms:W3CDTF">2022-10-24T15:23:37Z</dcterms:modified>
</cp:coreProperties>
</file>