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EW001_1-048 Mules2-3\Analisi Rischio\TC\"/>
    </mc:Choice>
  </mc:AlternateContent>
  <bookViews>
    <workbookView xWindow="240" yWindow="105" windowWidth="18795" windowHeight="11250" firstSheet="2" activeTab="8"/>
  </bookViews>
  <sheets>
    <sheet name="Inputs" sheetId="2" r:id="rId1"/>
    <sheet name="Models" sheetId="3" r:id="rId2"/>
    <sheet name="Utilization Factor" sheetId="5" r:id="rId3"/>
    <sheet name="Advancement" sheetId="1" r:id="rId4"/>
    <sheet name="Prod Peak" sheetId="24" r:id="rId5"/>
    <sheet name="Pk vs t Design" sheetId="22" r:id="rId6"/>
    <sheet name="Programma Lavori" sheetId="23" r:id="rId7"/>
    <sheet name="Pk vs t PROD" sheetId="7" r:id="rId8"/>
    <sheet name="Pk vs t GEN SUD" sheetId="10" r:id="rId9"/>
    <sheet name="Pk vs t OPEN SUD" sheetId="17" r:id="rId10"/>
    <sheet name="Pk vs t S SUD" sheetId="18" r:id="rId11"/>
    <sheet name="Pk vs t DS SUD" sheetId="19" r:id="rId12"/>
    <sheet name="Print_ADV" sheetId="6" r:id="rId13"/>
    <sheet name="RME e UCS" sheetId="21" r:id="rId14"/>
    <sheet name="RME sigmaC" sheetId="20" r:id="rId15"/>
    <sheet name="Cunicolo AICA" sheetId="11" r:id="rId16"/>
  </sheets>
  <calcPr calcId="152511"/>
</workbook>
</file>

<file path=xl/calcChain.xml><?xml version="1.0" encoding="utf-8"?>
<calcChain xmlns="http://schemas.openxmlformats.org/spreadsheetml/2006/main">
  <c r="P15" i="3" l="1"/>
  <c r="P9" i="3"/>
  <c r="P10" i="3" s="1"/>
  <c r="P11" i="3" s="1"/>
  <c r="P12" i="3" s="1"/>
  <c r="P13" i="3" s="1"/>
  <c r="P14" i="3" s="1"/>
  <c r="P8" i="3"/>
  <c r="P7" i="3"/>
  <c r="B62" i="24" l="1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61" i="24"/>
  <c r="AF17" i="24" l="1"/>
  <c r="AF8" i="24" s="1"/>
  <c r="AF9" i="24" s="1"/>
  <c r="AE17" i="24"/>
  <c r="AE8" i="24" s="1"/>
  <c r="AD17" i="24"/>
  <c r="AD8" i="24" s="1"/>
  <c r="AC17" i="24"/>
  <c r="AC8" i="24" s="1"/>
  <c r="X39" i="24"/>
  <c r="W39" i="24"/>
  <c r="V39" i="24"/>
  <c r="V29" i="24" s="1"/>
  <c r="U39" i="24"/>
  <c r="U29" i="24" s="1"/>
  <c r="V18" i="24"/>
  <c r="W18" i="24"/>
  <c r="X18" i="24"/>
  <c r="U18" i="24"/>
  <c r="U8" i="24" s="1"/>
  <c r="U9" i="24" s="1"/>
  <c r="X29" i="24"/>
  <c r="W29" i="24"/>
  <c r="X8" i="24"/>
  <c r="X9" i="24" s="1"/>
  <c r="W8" i="24"/>
  <c r="W9" i="24" s="1"/>
  <c r="V8" i="24"/>
  <c r="V9" i="24" s="1"/>
  <c r="F10" i="24" l="1"/>
  <c r="G10" i="24"/>
  <c r="H10" i="24"/>
  <c r="I10" i="24"/>
  <c r="F11" i="24"/>
  <c r="G11" i="24"/>
  <c r="H11" i="24"/>
  <c r="I11" i="24"/>
  <c r="F12" i="24"/>
  <c r="G12" i="24"/>
  <c r="H12" i="24"/>
  <c r="I12" i="24"/>
  <c r="F13" i="24"/>
  <c r="G13" i="24"/>
  <c r="H13" i="24"/>
  <c r="I13" i="24"/>
  <c r="F14" i="24"/>
  <c r="G14" i="24"/>
  <c r="H14" i="24"/>
  <c r="I14" i="24"/>
  <c r="F15" i="24"/>
  <c r="G15" i="24"/>
  <c r="H15" i="24"/>
  <c r="I15" i="24"/>
  <c r="F16" i="24"/>
  <c r="G16" i="24"/>
  <c r="H16" i="24"/>
  <c r="I16" i="24"/>
  <c r="F17" i="24"/>
  <c r="G17" i="24"/>
  <c r="H17" i="24"/>
  <c r="I17" i="24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A10" i="24"/>
  <c r="B10" i="24"/>
  <c r="C10" i="24"/>
  <c r="E10" i="24"/>
  <c r="A11" i="24"/>
  <c r="C11" i="24"/>
  <c r="E11" i="24"/>
  <c r="A12" i="24"/>
  <c r="E12" i="24"/>
  <c r="A13" i="24"/>
  <c r="E13" i="24"/>
  <c r="A14" i="24"/>
  <c r="C14" i="24"/>
  <c r="E14" i="24"/>
  <c r="A15" i="24"/>
  <c r="E15" i="24"/>
  <c r="A16" i="24"/>
  <c r="E16" i="24"/>
  <c r="A17" i="24"/>
  <c r="E17" i="24"/>
  <c r="A18" i="24"/>
  <c r="E18" i="24"/>
  <c r="A19" i="24"/>
  <c r="E19" i="24"/>
  <c r="A20" i="24"/>
  <c r="E20" i="24"/>
  <c r="A21" i="24"/>
  <c r="E21" i="24"/>
  <c r="A22" i="24"/>
  <c r="E22" i="24"/>
  <c r="A23" i="24"/>
  <c r="C23" i="24"/>
  <c r="E23" i="24"/>
  <c r="B7" i="20"/>
  <c r="A8" i="20"/>
  <c r="E8" i="20"/>
  <c r="E11" i="20"/>
  <c r="A15" i="20"/>
  <c r="A16" i="20"/>
  <c r="B8" i="1"/>
  <c r="B12" i="24" s="1"/>
  <c r="AL13" i="6"/>
  <c r="A11" i="6"/>
  <c r="A7" i="20" s="1"/>
  <c r="B11" i="6"/>
  <c r="C11" i="6"/>
  <c r="C7" i="20" s="1"/>
  <c r="E11" i="6"/>
  <c r="E7" i="20" s="1"/>
  <c r="F11" i="6"/>
  <c r="G11" i="6"/>
  <c r="H11" i="6"/>
  <c r="I11" i="6"/>
  <c r="A12" i="6"/>
  <c r="C12" i="6"/>
  <c r="C8" i="20" s="1"/>
  <c r="E12" i="6"/>
  <c r="F12" i="6"/>
  <c r="G12" i="6"/>
  <c r="H12" i="6"/>
  <c r="I12" i="6"/>
  <c r="A13" i="6"/>
  <c r="A9" i="20" s="1"/>
  <c r="B13" i="6"/>
  <c r="B9" i="20" s="1"/>
  <c r="E13" i="6"/>
  <c r="E9" i="20" s="1"/>
  <c r="F13" i="6"/>
  <c r="G13" i="6"/>
  <c r="H13" i="6"/>
  <c r="I13" i="6"/>
  <c r="A14" i="6"/>
  <c r="A10" i="20" s="1"/>
  <c r="E14" i="6"/>
  <c r="E10" i="20" s="1"/>
  <c r="F14" i="6"/>
  <c r="G14" i="6"/>
  <c r="H14" i="6"/>
  <c r="I14" i="6"/>
  <c r="A15" i="6"/>
  <c r="A11" i="20" s="1"/>
  <c r="C15" i="6"/>
  <c r="C11" i="20" s="1"/>
  <c r="E15" i="6"/>
  <c r="F15" i="6"/>
  <c r="G15" i="6"/>
  <c r="H15" i="6"/>
  <c r="I15" i="6"/>
  <c r="A16" i="6"/>
  <c r="A12" i="20" s="1"/>
  <c r="E16" i="6"/>
  <c r="E12" i="20" s="1"/>
  <c r="F16" i="6"/>
  <c r="G16" i="6"/>
  <c r="H16" i="6"/>
  <c r="I16" i="6"/>
  <c r="A17" i="6"/>
  <c r="A13" i="20" s="1"/>
  <c r="E17" i="6"/>
  <c r="E13" i="20" s="1"/>
  <c r="F17" i="6"/>
  <c r="G17" i="6"/>
  <c r="H17" i="6"/>
  <c r="I17" i="6"/>
  <c r="A18" i="6"/>
  <c r="A14" i="20" s="1"/>
  <c r="E18" i="6"/>
  <c r="E14" i="20" s="1"/>
  <c r="F18" i="6"/>
  <c r="G18" i="6"/>
  <c r="H18" i="6"/>
  <c r="I18" i="6"/>
  <c r="A19" i="6"/>
  <c r="E19" i="6"/>
  <c r="E15" i="20" s="1"/>
  <c r="F19" i="6"/>
  <c r="G19" i="6"/>
  <c r="H19" i="6"/>
  <c r="I19" i="6"/>
  <c r="A20" i="6"/>
  <c r="E20" i="6"/>
  <c r="E16" i="20" s="1"/>
  <c r="F20" i="6"/>
  <c r="G20" i="6"/>
  <c r="H20" i="6"/>
  <c r="I20" i="6"/>
  <c r="A21" i="6"/>
  <c r="A17" i="20" s="1"/>
  <c r="E21" i="6"/>
  <c r="E17" i="20" s="1"/>
  <c r="F21" i="6"/>
  <c r="G21" i="6"/>
  <c r="H21" i="6"/>
  <c r="I21" i="6"/>
  <c r="A22" i="6"/>
  <c r="A18" i="20" s="1"/>
  <c r="E22" i="6"/>
  <c r="E18" i="20" s="1"/>
  <c r="F22" i="6"/>
  <c r="G22" i="6"/>
  <c r="H22" i="6"/>
  <c r="I22" i="6"/>
  <c r="A23" i="6"/>
  <c r="A19" i="20" s="1"/>
  <c r="E23" i="6"/>
  <c r="E19" i="20" s="1"/>
  <c r="F23" i="6"/>
  <c r="G23" i="6"/>
  <c r="H23" i="6"/>
  <c r="I23" i="6"/>
  <c r="A24" i="6"/>
  <c r="A20" i="20" s="1"/>
  <c r="C24" i="6"/>
  <c r="C20" i="20" s="1"/>
  <c r="E24" i="6"/>
  <c r="E20" i="20" s="1"/>
  <c r="F24" i="6"/>
  <c r="G24" i="6"/>
  <c r="H24" i="6"/>
  <c r="I24" i="6"/>
  <c r="B7" i="1"/>
  <c r="B11" i="24" l="1"/>
  <c r="B12" i="6"/>
  <c r="B8" i="20" s="1"/>
  <c r="R187" i="1"/>
  <c r="F48" i="5" l="1"/>
  <c r="E48" i="5"/>
  <c r="D48" i="5"/>
  <c r="C48" i="5"/>
  <c r="F30" i="5"/>
  <c r="E30" i="5"/>
  <c r="D30" i="5"/>
  <c r="C30" i="5"/>
  <c r="D13" i="5"/>
  <c r="E13" i="5"/>
  <c r="F13" i="5"/>
  <c r="C13" i="5"/>
  <c r="F47" i="5"/>
  <c r="E47" i="5"/>
  <c r="D47" i="5"/>
  <c r="C47" i="5"/>
  <c r="F29" i="5"/>
  <c r="E29" i="5"/>
  <c r="D29" i="5"/>
  <c r="C29" i="5"/>
  <c r="D12" i="5"/>
  <c r="E12" i="5"/>
  <c r="F12" i="5"/>
  <c r="C12" i="5"/>
  <c r="O66" i="5"/>
  <c r="N65" i="5"/>
  <c r="O65" i="5" s="1"/>
  <c r="N66" i="5"/>
  <c r="N64" i="5"/>
  <c r="O64" i="5" s="1"/>
  <c r="C4" i="11" l="1"/>
  <c r="C5" i="11" s="1"/>
  <c r="C6" i="11" s="1"/>
  <c r="C7" i="11" s="1"/>
  <c r="C8" i="11" l="1"/>
  <c r="C9" i="11" s="1"/>
  <c r="C10" i="11" s="1"/>
  <c r="E4" i="11"/>
  <c r="BM14" i="6"/>
  <c r="BL14" i="6"/>
  <c r="BK14" i="6"/>
  <c r="C11" i="11" l="1"/>
  <c r="C12" i="11" s="1"/>
  <c r="C13" i="11" s="1"/>
  <c r="C14" i="11" s="1"/>
  <c r="C15" i="11" s="1"/>
  <c r="C16" i="11" s="1"/>
  <c r="C17" i="11" s="1"/>
  <c r="C18" i="11" s="1"/>
  <c r="E8" i="11"/>
  <c r="L49" i="6"/>
  <c r="R180" i="1"/>
  <c r="B177" i="1"/>
  <c r="F172" i="1"/>
  <c r="E172" i="1"/>
  <c r="D172" i="1"/>
  <c r="B172" i="1"/>
  <c r="A172" i="1"/>
  <c r="AL45" i="6" s="1"/>
  <c r="B157" i="1"/>
  <c r="A157" i="1"/>
  <c r="AL30" i="6" s="1"/>
  <c r="B156" i="1"/>
  <c r="A156" i="1"/>
  <c r="AL29" i="6" s="1"/>
  <c r="B155" i="1"/>
  <c r="A155" i="1"/>
  <c r="AL28" i="6" s="1"/>
  <c r="E141" i="1"/>
  <c r="AP14" i="6" s="1"/>
  <c r="A141" i="1"/>
  <c r="AL14" i="6" s="1"/>
  <c r="P140" i="1"/>
  <c r="BA13" i="6" s="1"/>
  <c r="O140" i="1"/>
  <c r="AZ13" i="6" s="1"/>
  <c r="N140" i="1"/>
  <c r="M140" i="1"/>
  <c r="AX13" i="6" s="1"/>
  <c r="L140" i="1"/>
  <c r="AW13" i="6" s="1"/>
  <c r="K140" i="1"/>
  <c r="J140" i="1"/>
  <c r="AU13" i="6" s="1"/>
  <c r="I140" i="1"/>
  <c r="AT13" i="6" s="1"/>
  <c r="H140" i="1"/>
  <c r="G140" i="1"/>
  <c r="AR13" i="6" s="1"/>
  <c r="P139" i="1"/>
  <c r="BA12" i="6" s="1"/>
  <c r="O139" i="1"/>
  <c r="AZ12" i="6" s="1"/>
  <c r="N139" i="1"/>
  <c r="AY12" i="6" s="1"/>
  <c r="M139" i="1"/>
  <c r="AX12" i="6" s="1"/>
  <c r="L139" i="1"/>
  <c r="AW12" i="6" s="1"/>
  <c r="K139" i="1"/>
  <c r="AV12" i="6" s="1"/>
  <c r="J139" i="1"/>
  <c r="AU12" i="6" s="1"/>
  <c r="I139" i="1"/>
  <c r="AT12" i="6" s="1"/>
  <c r="H139" i="1"/>
  <c r="AS12" i="6" s="1"/>
  <c r="G139" i="1"/>
  <c r="AR12" i="6" s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P175" i="1" s="1"/>
  <c r="O136" i="1"/>
  <c r="N136" i="1"/>
  <c r="M136" i="1"/>
  <c r="M175" i="1" s="1"/>
  <c r="L136" i="1"/>
  <c r="K136" i="1"/>
  <c r="J136" i="1"/>
  <c r="J175" i="1" s="1"/>
  <c r="I136" i="1"/>
  <c r="H136" i="1"/>
  <c r="G136" i="1"/>
  <c r="G175" i="1" s="1"/>
  <c r="F136" i="1"/>
  <c r="E136" i="1"/>
  <c r="D136" i="1"/>
  <c r="C136" i="1"/>
  <c r="B136" i="1"/>
  <c r="A136" i="1"/>
  <c r="F135" i="1"/>
  <c r="E135" i="1"/>
  <c r="D135" i="1"/>
  <c r="C135" i="1"/>
  <c r="B135" i="1"/>
  <c r="A135" i="1"/>
  <c r="A131" i="1"/>
  <c r="E92" i="1"/>
  <c r="A92" i="1"/>
  <c r="AB75" i="1"/>
  <c r="AA75" i="1"/>
  <c r="Z75" i="1"/>
  <c r="L63" i="1"/>
  <c r="AA61" i="1"/>
  <c r="Z61" i="1"/>
  <c r="Y61" i="1"/>
  <c r="AA60" i="1"/>
  <c r="Z60" i="1"/>
  <c r="Y60" i="1"/>
  <c r="Y59" i="1"/>
  <c r="AA57" i="1"/>
  <c r="Z57" i="1"/>
  <c r="Y57" i="1"/>
  <c r="I40" i="1"/>
  <c r="I62" i="1" s="1"/>
  <c r="I48" i="6" s="1"/>
  <c r="H40" i="1"/>
  <c r="H62" i="1" s="1"/>
  <c r="H48" i="6" s="1"/>
  <c r="G40" i="1"/>
  <c r="G62" i="1" s="1"/>
  <c r="G48" i="6" s="1"/>
  <c r="F40" i="1"/>
  <c r="F62" i="1" s="1"/>
  <c r="F48" i="6" s="1"/>
  <c r="E40" i="1"/>
  <c r="E88" i="1" s="1"/>
  <c r="C40" i="1"/>
  <c r="C88" i="1" s="1"/>
  <c r="A40" i="1"/>
  <c r="A88" i="1" s="1"/>
  <c r="I39" i="1"/>
  <c r="I61" i="1" s="1"/>
  <c r="I47" i="6" s="1"/>
  <c r="H39" i="1"/>
  <c r="H61" i="1" s="1"/>
  <c r="H47" i="6" s="1"/>
  <c r="G39" i="1"/>
  <c r="G61" i="1" s="1"/>
  <c r="G47" i="6" s="1"/>
  <c r="F39" i="1"/>
  <c r="F61" i="1" s="1"/>
  <c r="F47" i="6" s="1"/>
  <c r="E39" i="1"/>
  <c r="E61" i="1" s="1"/>
  <c r="E47" i="6" s="1"/>
  <c r="A39" i="1"/>
  <c r="A61" i="1" s="1"/>
  <c r="A47" i="6" s="1"/>
  <c r="I38" i="1"/>
  <c r="I60" i="1" s="1"/>
  <c r="I46" i="6" s="1"/>
  <c r="H38" i="1"/>
  <c r="H60" i="1" s="1"/>
  <c r="H46" i="6" s="1"/>
  <c r="G38" i="1"/>
  <c r="G60" i="1" s="1"/>
  <c r="G46" i="6" s="1"/>
  <c r="F38" i="1"/>
  <c r="F60" i="1" s="1"/>
  <c r="F46" i="6" s="1"/>
  <c r="E38" i="1"/>
  <c r="E86" i="1" s="1"/>
  <c r="A38" i="1"/>
  <c r="A86" i="1" s="1"/>
  <c r="I37" i="1"/>
  <c r="I59" i="1" s="1"/>
  <c r="I45" i="6" s="1"/>
  <c r="H37" i="1"/>
  <c r="H59" i="1" s="1"/>
  <c r="H45" i="6" s="1"/>
  <c r="G37" i="1"/>
  <c r="G59" i="1" s="1"/>
  <c r="G45" i="6" s="1"/>
  <c r="F37" i="1"/>
  <c r="F59" i="1" s="1"/>
  <c r="F45" i="6" s="1"/>
  <c r="E37" i="1"/>
  <c r="E59" i="1" s="1"/>
  <c r="E45" i="6" s="1"/>
  <c r="A37" i="1"/>
  <c r="A59" i="1" s="1"/>
  <c r="A45" i="6" s="1"/>
  <c r="I36" i="1"/>
  <c r="I58" i="1" s="1"/>
  <c r="I44" i="6" s="1"/>
  <c r="H36" i="1"/>
  <c r="H58" i="1" s="1"/>
  <c r="H44" i="6" s="1"/>
  <c r="G36" i="1"/>
  <c r="G58" i="1" s="1"/>
  <c r="G44" i="6" s="1"/>
  <c r="F36" i="1"/>
  <c r="F58" i="1" s="1"/>
  <c r="F44" i="6" s="1"/>
  <c r="E36" i="1"/>
  <c r="E84" i="1" s="1"/>
  <c r="A36" i="1"/>
  <c r="A84" i="1" s="1"/>
  <c r="I35" i="1"/>
  <c r="I57" i="1" s="1"/>
  <c r="I43" i="6" s="1"/>
  <c r="H35" i="1"/>
  <c r="H57" i="1" s="1"/>
  <c r="H43" i="6" s="1"/>
  <c r="G35" i="1"/>
  <c r="G57" i="1" s="1"/>
  <c r="G43" i="6" s="1"/>
  <c r="F35" i="1"/>
  <c r="F57" i="1" s="1"/>
  <c r="F43" i="6" s="1"/>
  <c r="E35" i="1"/>
  <c r="E83" i="1" s="1"/>
  <c r="A35" i="1"/>
  <c r="A83" i="1" s="1"/>
  <c r="I34" i="1"/>
  <c r="I56" i="1" s="1"/>
  <c r="I42" i="6" s="1"/>
  <c r="H34" i="1"/>
  <c r="H56" i="1" s="1"/>
  <c r="H42" i="6" s="1"/>
  <c r="G34" i="1"/>
  <c r="G56" i="1" s="1"/>
  <c r="G42" i="6" s="1"/>
  <c r="F34" i="1"/>
  <c r="F56" i="1" s="1"/>
  <c r="F42" i="6" s="1"/>
  <c r="E34" i="1"/>
  <c r="E82" i="1" s="1"/>
  <c r="A34" i="1"/>
  <c r="A82" i="1" s="1"/>
  <c r="I33" i="1"/>
  <c r="I55" i="1" s="1"/>
  <c r="I41" i="6" s="1"/>
  <c r="H33" i="1"/>
  <c r="H55" i="1" s="1"/>
  <c r="H41" i="6" s="1"/>
  <c r="G33" i="1"/>
  <c r="G55" i="1" s="1"/>
  <c r="G41" i="6" s="1"/>
  <c r="F33" i="1"/>
  <c r="F55" i="1" s="1"/>
  <c r="F41" i="6" s="1"/>
  <c r="E33" i="1"/>
  <c r="E81" i="1" s="1"/>
  <c r="A33" i="1"/>
  <c r="A81" i="1" s="1"/>
  <c r="I32" i="1"/>
  <c r="I54" i="1" s="1"/>
  <c r="I40" i="6" s="1"/>
  <c r="H32" i="1"/>
  <c r="H54" i="1" s="1"/>
  <c r="H40" i="6" s="1"/>
  <c r="G32" i="1"/>
  <c r="G54" i="1" s="1"/>
  <c r="G40" i="6" s="1"/>
  <c r="F32" i="1"/>
  <c r="F54" i="1" s="1"/>
  <c r="F40" i="6" s="1"/>
  <c r="E32" i="1"/>
  <c r="E80" i="1" s="1"/>
  <c r="A32" i="1"/>
  <c r="A80" i="1" s="1"/>
  <c r="I31" i="1"/>
  <c r="I53" i="1" s="1"/>
  <c r="I39" i="6" s="1"/>
  <c r="H31" i="1"/>
  <c r="H53" i="1" s="1"/>
  <c r="H39" i="6" s="1"/>
  <c r="G31" i="1"/>
  <c r="G53" i="1" s="1"/>
  <c r="G39" i="6" s="1"/>
  <c r="F31" i="1"/>
  <c r="F53" i="1" s="1"/>
  <c r="F39" i="6" s="1"/>
  <c r="E31" i="1"/>
  <c r="E79" i="1" s="1"/>
  <c r="C31" i="1"/>
  <c r="C79" i="1" s="1"/>
  <c r="A31" i="1"/>
  <c r="A79" i="1" s="1"/>
  <c r="I30" i="1"/>
  <c r="I52" i="1" s="1"/>
  <c r="I38" i="6" s="1"/>
  <c r="H30" i="1"/>
  <c r="H52" i="1" s="1"/>
  <c r="H38" i="6" s="1"/>
  <c r="G30" i="1"/>
  <c r="G52" i="1" s="1"/>
  <c r="G38" i="6" s="1"/>
  <c r="F30" i="1"/>
  <c r="F52" i="1" s="1"/>
  <c r="F38" i="6" s="1"/>
  <c r="E30" i="1"/>
  <c r="E78" i="1" s="1"/>
  <c r="A30" i="1"/>
  <c r="A78" i="1" s="1"/>
  <c r="I29" i="1"/>
  <c r="I51" i="1" s="1"/>
  <c r="I37" i="6" s="1"/>
  <c r="H29" i="1"/>
  <c r="H51" i="1" s="1"/>
  <c r="H37" i="6" s="1"/>
  <c r="G29" i="1"/>
  <c r="G51" i="1" s="1"/>
  <c r="G37" i="6" s="1"/>
  <c r="F29" i="1"/>
  <c r="F51" i="1" s="1"/>
  <c r="F37" i="6" s="1"/>
  <c r="E29" i="1"/>
  <c r="E77" i="1" s="1"/>
  <c r="B29" i="1"/>
  <c r="B77" i="1" s="1"/>
  <c r="A29" i="1"/>
  <c r="A77" i="1" s="1"/>
  <c r="I28" i="1"/>
  <c r="I50" i="1" s="1"/>
  <c r="I36" i="6" s="1"/>
  <c r="H28" i="1"/>
  <c r="H50" i="1" s="1"/>
  <c r="H36" i="6" s="1"/>
  <c r="G28" i="1"/>
  <c r="G50" i="1" s="1"/>
  <c r="G36" i="6" s="1"/>
  <c r="F28" i="1"/>
  <c r="F50" i="1" s="1"/>
  <c r="F36" i="6" s="1"/>
  <c r="E28" i="1"/>
  <c r="E76" i="1" s="1"/>
  <c r="C28" i="1"/>
  <c r="C76" i="1" s="1"/>
  <c r="B28" i="1"/>
  <c r="B76" i="1" s="1"/>
  <c r="A28" i="1"/>
  <c r="A76" i="1" s="1"/>
  <c r="I27" i="1"/>
  <c r="I49" i="1" s="1"/>
  <c r="I35" i="6" s="1"/>
  <c r="H27" i="1"/>
  <c r="H49" i="1" s="1"/>
  <c r="H35" i="6" s="1"/>
  <c r="G27" i="1"/>
  <c r="G49" i="1" s="1"/>
  <c r="G35" i="6" s="1"/>
  <c r="F27" i="1"/>
  <c r="F49" i="1" s="1"/>
  <c r="F35" i="6" s="1"/>
  <c r="E27" i="1"/>
  <c r="E49" i="1" s="1"/>
  <c r="E35" i="6" s="1"/>
  <c r="C27" i="1"/>
  <c r="B27" i="1"/>
  <c r="A27" i="1"/>
  <c r="A49" i="1" s="1"/>
  <c r="A35" i="6" s="1"/>
  <c r="A23" i="1"/>
  <c r="A31" i="6" s="1"/>
  <c r="N19" i="1"/>
  <c r="N24" i="6" s="1"/>
  <c r="K19" i="1"/>
  <c r="N18" i="1"/>
  <c r="K18" i="1"/>
  <c r="N17" i="1"/>
  <c r="N22" i="6" s="1"/>
  <c r="K17" i="1"/>
  <c r="C17" i="1"/>
  <c r="N16" i="1"/>
  <c r="K16" i="1"/>
  <c r="N15" i="1"/>
  <c r="K15" i="1"/>
  <c r="C15" i="1"/>
  <c r="N14" i="1"/>
  <c r="K14" i="1"/>
  <c r="N13" i="1"/>
  <c r="N18" i="6" s="1"/>
  <c r="K13" i="1"/>
  <c r="C13" i="1"/>
  <c r="N12" i="1"/>
  <c r="K12" i="1"/>
  <c r="C12" i="1"/>
  <c r="N11" i="1"/>
  <c r="K11" i="1"/>
  <c r="C11" i="1"/>
  <c r="B11" i="1"/>
  <c r="N10" i="1"/>
  <c r="K10" i="1"/>
  <c r="N9" i="1"/>
  <c r="N14" i="6" s="1"/>
  <c r="K9" i="1"/>
  <c r="N8" i="1"/>
  <c r="K8" i="1"/>
  <c r="C8" i="1"/>
  <c r="N7" i="1"/>
  <c r="K7" i="1"/>
  <c r="D7" i="1"/>
  <c r="N6" i="1"/>
  <c r="K6" i="1"/>
  <c r="D6" i="1"/>
  <c r="F46" i="5"/>
  <c r="F45" i="5" s="1"/>
  <c r="E46" i="5"/>
  <c r="E45" i="5" s="1"/>
  <c r="D46" i="5"/>
  <c r="D45" i="5" s="1"/>
  <c r="C46" i="5"/>
  <c r="C45" i="5" s="1"/>
  <c r="F44" i="5"/>
  <c r="E44" i="5"/>
  <c r="D44" i="5"/>
  <c r="C44" i="5"/>
  <c r="F28" i="5"/>
  <c r="F27" i="5" s="1"/>
  <c r="E28" i="5"/>
  <c r="E27" i="5" s="1"/>
  <c r="D28" i="5"/>
  <c r="D27" i="5" s="1"/>
  <c r="C28" i="5"/>
  <c r="C27" i="5" s="1"/>
  <c r="F26" i="5"/>
  <c r="E26" i="5"/>
  <c r="D26" i="5"/>
  <c r="C26" i="5"/>
  <c r="F22" i="5"/>
  <c r="F11" i="5"/>
  <c r="F10" i="5" s="1"/>
  <c r="E11" i="5"/>
  <c r="E10" i="5" s="1"/>
  <c r="D11" i="5"/>
  <c r="D10" i="5" s="1"/>
  <c r="C11" i="5"/>
  <c r="C10" i="5" s="1"/>
  <c r="F9" i="5"/>
  <c r="E9" i="5"/>
  <c r="D9" i="5"/>
  <c r="C9" i="5"/>
  <c r="F4" i="5"/>
  <c r="E23" i="3"/>
  <c r="C39" i="5" s="1"/>
  <c r="D23" i="3"/>
  <c r="D39" i="5" s="1"/>
  <c r="C23" i="3"/>
  <c r="E39" i="5" s="1"/>
  <c r="B23" i="3"/>
  <c r="E22" i="3"/>
  <c r="C22" i="5" s="1"/>
  <c r="D22" i="3"/>
  <c r="D22" i="5" s="1"/>
  <c r="C22" i="3"/>
  <c r="E22" i="5" s="1"/>
  <c r="E21" i="3"/>
  <c r="C4" i="5" s="1"/>
  <c r="D21" i="3"/>
  <c r="D4" i="5" s="1"/>
  <c r="C21" i="3"/>
  <c r="E15" i="3"/>
  <c r="C15" i="3"/>
  <c r="F15" i="3" s="1"/>
  <c r="E14" i="3"/>
  <c r="C14" i="3"/>
  <c r="E13" i="3"/>
  <c r="C13" i="3"/>
  <c r="E12" i="3"/>
  <c r="C12" i="3"/>
  <c r="B12" i="3"/>
  <c r="E11" i="3"/>
  <c r="C11" i="3"/>
  <c r="E10" i="3"/>
  <c r="C10" i="3"/>
  <c r="B10" i="3"/>
  <c r="E9" i="3"/>
  <c r="E8" i="3" s="1"/>
  <c r="C9" i="3"/>
  <c r="C8" i="3"/>
  <c r="B8" i="3"/>
  <c r="E7" i="3"/>
  <c r="C7" i="3"/>
  <c r="AC7" i="1" l="1"/>
  <c r="AC12" i="6" s="1"/>
  <c r="K12" i="6"/>
  <c r="O10" i="1"/>
  <c r="O15" i="6" s="1"/>
  <c r="N15" i="6"/>
  <c r="C34" i="1"/>
  <c r="C17" i="24"/>
  <c r="C18" i="6"/>
  <c r="C14" i="20" s="1"/>
  <c r="AC16" i="1"/>
  <c r="AC21" i="6" s="1"/>
  <c r="K21" i="6"/>
  <c r="C49" i="1"/>
  <c r="C35" i="6" s="1"/>
  <c r="C75" i="1"/>
  <c r="C141" i="1" s="1"/>
  <c r="AN14" i="6" s="1"/>
  <c r="O7" i="1"/>
  <c r="O12" i="6" s="1"/>
  <c r="N12" i="6"/>
  <c r="L9" i="1"/>
  <c r="L14" i="6" s="1"/>
  <c r="K14" i="6"/>
  <c r="B13" i="1"/>
  <c r="D13" i="1" s="1"/>
  <c r="C16" i="24"/>
  <c r="C17" i="6"/>
  <c r="C13" i="20" s="1"/>
  <c r="AC13" i="1"/>
  <c r="AC18" i="6" s="1"/>
  <c r="K18" i="6"/>
  <c r="C36" i="1"/>
  <c r="C20" i="6"/>
  <c r="C16" i="20" s="1"/>
  <c r="C19" i="24"/>
  <c r="L18" i="1"/>
  <c r="L23" i="6" s="1"/>
  <c r="K23" i="6"/>
  <c r="AY13" i="6"/>
  <c r="W140" i="1"/>
  <c r="G15" i="3"/>
  <c r="AC20" i="24"/>
  <c r="AC22" i="24" s="1"/>
  <c r="O6" i="1"/>
  <c r="O11" i="6" s="1"/>
  <c r="N11" i="6"/>
  <c r="C9" i="1"/>
  <c r="C13" i="6"/>
  <c r="C9" i="20" s="1"/>
  <c r="C12" i="24"/>
  <c r="C32" i="1"/>
  <c r="C54" i="1" s="1"/>
  <c r="C40" i="6" s="1"/>
  <c r="C15" i="24"/>
  <c r="C16" i="6"/>
  <c r="C12" i="20" s="1"/>
  <c r="AC12" i="1"/>
  <c r="AC17" i="6" s="1"/>
  <c r="K17" i="6"/>
  <c r="AC15" i="1"/>
  <c r="AC20" i="6" s="1"/>
  <c r="K20" i="6"/>
  <c r="C38" i="1"/>
  <c r="C21" i="24"/>
  <c r="C22" i="6"/>
  <c r="C18" i="20" s="1"/>
  <c r="O18" i="1"/>
  <c r="O23" i="6" s="1"/>
  <c r="N23" i="6"/>
  <c r="AV13" i="6"/>
  <c r="V140" i="1"/>
  <c r="C177" i="1"/>
  <c r="C179" i="1"/>
  <c r="B180" i="1" s="1"/>
  <c r="D27" i="1"/>
  <c r="D49" i="1" s="1"/>
  <c r="D35" i="6" s="1"/>
  <c r="D11" i="6"/>
  <c r="D7" i="20" s="1"/>
  <c r="D10" i="24"/>
  <c r="O8" i="1"/>
  <c r="O13" i="6" s="1"/>
  <c r="N13" i="6"/>
  <c r="O11" i="1"/>
  <c r="O16" i="6" s="1"/>
  <c r="N16" i="6"/>
  <c r="O14" i="1"/>
  <c r="O19" i="6" s="1"/>
  <c r="N19" i="6"/>
  <c r="AC6" i="1"/>
  <c r="AC11" i="6" s="1"/>
  <c r="K11" i="6"/>
  <c r="B32" i="1"/>
  <c r="B15" i="24"/>
  <c r="B16" i="6"/>
  <c r="B12" i="20" s="1"/>
  <c r="O16" i="1"/>
  <c r="O21" i="6" s="1"/>
  <c r="N21" i="6"/>
  <c r="F7" i="3"/>
  <c r="G7" i="3" s="1"/>
  <c r="D28" i="1"/>
  <c r="D50" i="1" s="1"/>
  <c r="D36" i="6" s="1"/>
  <c r="D12" i="6"/>
  <c r="D8" i="20" s="1"/>
  <c r="D11" i="24"/>
  <c r="Q8" i="1"/>
  <c r="Q13" i="6" s="1"/>
  <c r="K13" i="6"/>
  <c r="AC10" i="1"/>
  <c r="AC15" i="6" s="1"/>
  <c r="K15" i="6"/>
  <c r="AC11" i="1"/>
  <c r="AC16" i="6" s="1"/>
  <c r="K16" i="6"/>
  <c r="O12" i="1"/>
  <c r="O17" i="6" s="1"/>
  <c r="N17" i="6"/>
  <c r="L14" i="1"/>
  <c r="L19" i="6" s="1"/>
  <c r="K19" i="6"/>
  <c r="O15" i="1"/>
  <c r="O20" i="6" s="1"/>
  <c r="N20" i="6"/>
  <c r="AC17" i="1"/>
  <c r="AC22" i="6" s="1"/>
  <c r="K22" i="6"/>
  <c r="AC19" i="1"/>
  <c r="AC24" i="6" s="1"/>
  <c r="K24" i="6"/>
  <c r="B49" i="1"/>
  <c r="B75" i="1"/>
  <c r="AS13" i="6"/>
  <c r="U140" i="1"/>
  <c r="D8" i="1"/>
  <c r="D12" i="24" s="1"/>
  <c r="M8" i="1"/>
  <c r="M13" i="6" s="1"/>
  <c r="W9" i="1"/>
  <c r="W14" i="6" s="1"/>
  <c r="J10" i="1"/>
  <c r="Y10" i="1" s="1"/>
  <c r="Y15" i="6" s="1"/>
  <c r="L10" i="1"/>
  <c r="Q10" i="1"/>
  <c r="Q15" i="6" s="1"/>
  <c r="J12" i="1"/>
  <c r="L12" i="1"/>
  <c r="M14" i="1"/>
  <c r="M19" i="6" s="1"/>
  <c r="J16" i="1"/>
  <c r="L16" i="1"/>
  <c r="M18" i="1"/>
  <c r="M23" i="6" s="1"/>
  <c r="J6" i="1"/>
  <c r="L6" i="1"/>
  <c r="Q6" i="1"/>
  <c r="Q11" i="6" s="1"/>
  <c r="J7" i="1"/>
  <c r="L7" i="1"/>
  <c r="W8" i="1"/>
  <c r="W13" i="6" s="1"/>
  <c r="B9" i="1"/>
  <c r="M9" i="1"/>
  <c r="M14" i="6" s="1"/>
  <c r="O9" i="1"/>
  <c r="O14" i="6" s="1"/>
  <c r="J11" i="1"/>
  <c r="L11" i="1"/>
  <c r="U11" i="1" s="1"/>
  <c r="U16" i="6" s="1"/>
  <c r="J13" i="1"/>
  <c r="L13" i="1"/>
  <c r="W14" i="1"/>
  <c r="W19" i="6" s="1"/>
  <c r="M15" i="1"/>
  <c r="M20" i="6" s="1"/>
  <c r="J17" i="1"/>
  <c r="L17" i="1"/>
  <c r="AA17" i="1" s="1"/>
  <c r="W18" i="1"/>
  <c r="W23" i="6" s="1"/>
  <c r="J19" i="1"/>
  <c r="L19" i="1"/>
  <c r="X6" i="1"/>
  <c r="X11" i="6" s="1"/>
  <c r="W13" i="1"/>
  <c r="W18" i="6" s="1"/>
  <c r="W15" i="1"/>
  <c r="W20" i="6" s="1"/>
  <c r="W17" i="1"/>
  <c r="W22" i="6" s="1"/>
  <c r="W19" i="1"/>
  <c r="W24" i="6" s="1"/>
  <c r="B10" i="1"/>
  <c r="X9" i="1"/>
  <c r="X14" i="6" s="1"/>
  <c r="B80" i="1"/>
  <c r="B54" i="1"/>
  <c r="B40" i="6" s="1"/>
  <c r="C84" i="1"/>
  <c r="C58" i="1"/>
  <c r="C44" i="6" s="1"/>
  <c r="B35" i="6"/>
  <c r="B142" i="1"/>
  <c r="AM15" i="6" s="1"/>
  <c r="E142" i="1"/>
  <c r="AP15" i="6" s="1"/>
  <c r="E93" i="1"/>
  <c r="B143" i="1"/>
  <c r="AM16" i="6" s="1"/>
  <c r="A95" i="1"/>
  <c r="A144" i="1"/>
  <c r="AL17" i="6" s="1"/>
  <c r="A145" i="1"/>
  <c r="AL18" i="6" s="1"/>
  <c r="A96" i="1"/>
  <c r="E145" i="1"/>
  <c r="AP18" i="6" s="1"/>
  <c r="E96" i="1"/>
  <c r="E97" i="1"/>
  <c r="E146" i="1"/>
  <c r="AP19" i="6" s="1"/>
  <c r="E147" i="1"/>
  <c r="AP20" i="6" s="1"/>
  <c r="E98" i="1"/>
  <c r="E99" i="1"/>
  <c r="E148" i="1"/>
  <c r="AP21" i="6" s="1"/>
  <c r="E149" i="1"/>
  <c r="AP22" i="6" s="1"/>
  <c r="E100" i="1"/>
  <c r="E101" i="1"/>
  <c r="E150" i="1"/>
  <c r="AP23" i="6" s="1"/>
  <c r="E103" i="1"/>
  <c r="E152" i="1"/>
  <c r="AP25" i="6" s="1"/>
  <c r="C154" i="1"/>
  <c r="C89" i="1"/>
  <c r="D76" i="1"/>
  <c r="AD9" i="1"/>
  <c r="AD14" i="6" s="1"/>
  <c r="U9" i="1"/>
  <c r="U14" i="6" s="1"/>
  <c r="C80" i="1"/>
  <c r="C82" i="1"/>
  <c r="C56" i="1"/>
  <c r="C42" i="6" s="1"/>
  <c r="C86" i="1"/>
  <c r="C60" i="1"/>
  <c r="C46" i="6" s="1"/>
  <c r="A142" i="1"/>
  <c r="AL15" i="6" s="1"/>
  <c r="A93" i="1"/>
  <c r="C142" i="1"/>
  <c r="AN15" i="6" s="1"/>
  <c r="A143" i="1"/>
  <c r="AL16" i="6" s="1"/>
  <c r="A94" i="1"/>
  <c r="E143" i="1"/>
  <c r="AP16" i="6" s="1"/>
  <c r="E94" i="1"/>
  <c r="E95" i="1"/>
  <c r="E144" i="1"/>
  <c r="AP17" i="6" s="1"/>
  <c r="C145" i="1"/>
  <c r="AN18" i="6" s="1"/>
  <c r="A97" i="1"/>
  <c r="A146" i="1"/>
  <c r="AL19" i="6" s="1"/>
  <c r="A147" i="1"/>
  <c r="AL20" i="6" s="1"/>
  <c r="A98" i="1"/>
  <c r="A99" i="1"/>
  <c r="A148" i="1"/>
  <c r="AL21" i="6" s="1"/>
  <c r="A149" i="1"/>
  <c r="AL22" i="6" s="1"/>
  <c r="A100" i="1"/>
  <c r="A101" i="1"/>
  <c r="A150" i="1"/>
  <c r="AL23" i="6" s="1"/>
  <c r="A103" i="1"/>
  <c r="A152" i="1"/>
  <c r="AL25" i="6" s="1"/>
  <c r="A105" i="1"/>
  <c r="A154" i="1"/>
  <c r="AL27" i="6" s="1"/>
  <c r="E105" i="1"/>
  <c r="E154" i="1"/>
  <c r="AP27" i="6" s="1"/>
  <c r="U6" i="1"/>
  <c r="U11" i="6" s="1"/>
  <c r="AD6" i="1"/>
  <c r="AD11" i="6" s="1"/>
  <c r="U7" i="1"/>
  <c r="U12" i="6" s="1"/>
  <c r="W7" i="1"/>
  <c r="W12" i="6" s="1"/>
  <c r="T8" i="1"/>
  <c r="T13" i="6" s="1"/>
  <c r="AC8" i="1"/>
  <c r="AC13" i="6" s="1"/>
  <c r="T9" i="1"/>
  <c r="T14" i="6" s="1"/>
  <c r="AC9" i="1"/>
  <c r="AC14" i="6" s="1"/>
  <c r="U10" i="1"/>
  <c r="U15" i="6" s="1"/>
  <c r="W10" i="1"/>
  <c r="W15" i="6" s="1"/>
  <c r="AD10" i="1"/>
  <c r="AD15" i="6" s="1"/>
  <c r="W11" i="1"/>
  <c r="W16" i="6" s="1"/>
  <c r="S12" i="1"/>
  <c r="S17" i="6" s="1"/>
  <c r="W12" i="1"/>
  <c r="W17" i="6" s="1"/>
  <c r="R13" i="1"/>
  <c r="R18" i="6" s="1"/>
  <c r="T13" i="1"/>
  <c r="T18" i="6" s="1"/>
  <c r="B14" i="1"/>
  <c r="T14" i="1"/>
  <c r="T19" i="6" s="1"/>
  <c r="AC14" i="1"/>
  <c r="AC19" i="6" s="1"/>
  <c r="S16" i="1"/>
  <c r="S21" i="6" s="1"/>
  <c r="W16" i="1"/>
  <c r="W21" i="6" s="1"/>
  <c r="T17" i="1"/>
  <c r="T22" i="6" s="1"/>
  <c r="B18" i="1"/>
  <c r="T18" i="1"/>
  <c r="T23" i="6" s="1"/>
  <c r="AC18" i="1"/>
  <c r="AC23" i="6" s="1"/>
  <c r="R19" i="1"/>
  <c r="R24" i="6" s="1"/>
  <c r="T19" i="1"/>
  <c r="T24" i="6" s="1"/>
  <c r="C29" i="1"/>
  <c r="C33" i="1"/>
  <c r="B50" i="1"/>
  <c r="B36" i="6" s="1"/>
  <c r="A51" i="1"/>
  <c r="A37" i="6" s="1"/>
  <c r="E51" i="1"/>
  <c r="E37" i="6" s="1"/>
  <c r="A53" i="1"/>
  <c r="A39" i="6" s="1"/>
  <c r="C53" i="1"/>
  <c r="C39" i="6" s="1"/>
  <c r="E53" i="1"/>
  <c r="E39" i="6" s="1"/>
  <c r="A55" i="1"/>
  <c r="A41" i="6" s="1"/>
  <c r="E55" i="1"/>
  <c r="E41" i="6" s="1"/>
  <c r="A57" i="1"/>
  <c r="A43" i="6" s="1"/>
  <c r="E57" i="1"/>
  <c r="E43" i="6" s="1"/>
  <c r="A58" i="1"/>
  <c r="A44" i="6" s="1"/>
  <c r="E58" i="1"/>
  <c r="E44" i="6" s="1"/>
  <c r="A85" i="1"/>
  <c r="E85" i="1"/>
  <c r="A87" i="1"/>
  <c r="E87" i="1"/>
  <c r="A158" i="1"/>
  <c r="AL31" i="6" s="1"/>
  <c r="E158" i="1"/>
  <c r="AP31" i="6" s="1"/>
  <c r="W6" i="1"/>
  <c r="W11" i="6" s="1"/>
  <c r="M6" i="1"/>
  <c r="M11" i="6" s="1"/>
  <c r="T6" i="1"/>
  <c r="T11" i="6" s="1"/>
  <c r="M7" i="1"/>
  <c r="T7" i="1"/>
  <c r="T12" i="6" s="1"/>
  <c r="J8" i="1"/>
  <c r="J13" i="6" s="1"/>
  <c r="L8" i="1"/>
  <c r="L13" i="6" s="1"/>
  <c r="J9" i="1"/>
  <c r="M10" i="1"/>
  <c r="T10" i="1"/>
  <c r="T15" i="6" s="1"/>
  <c r="D11" i="1"/>
  <c r="M11" i="1"/>
  <c r="T11" i="1"/>
  <c r="T16" i="6" s="1"/>
  <c r="B12" i="1"/>
  <c r="M12" i="1"/>
  <c r="T12" i="1"/>
  <c r="T17" i="6" s="1"/>
  <c r="M13" i="1"/>
  <c r="O13" i="1"/>
  <c r="S13" i="1"/>
  <c r="S18" i="6" s="1"/>
  <c r="J14" i="1"/>
  <c r="J19" i="6" s="1"/>
  <c r="J15" i="1"/>
  <c r="Y15" i="1" s="1"/>
  <c r="Y20" i="6" s="1"/>
  <c r="L15" i="1"/>
  <c r="L20" i="6" s="1"/>
  <c r="T15" i="1"/>
  <c r="T20" i="6" s="1"/>
  <c r="B16" i="1"/>
  <c r="M16" i="1"/>
  <c r="T16" i="1"/>
  <c r="T21" i="6" s="1"/>
  <c r="M17" i="1"/>
  <c r="O17" i="1"/>
  <c r="S17" i="1"/>
  <c r="S22" i="6" s="1"/>
  <c r="J18" i="1"/>
  <c r="J23" i="6" s="1"/>
  <c r="M19" i="1"/>
  <c r="O19" i="1"/>
  <c r="S19" i="1"/>
  <c r="S24" i="6" s="1"/>
  <c r="A45" i="1"/>
  <c r="A50" i="1"/>
  <c r="A36" i="6" s="1"/>
  <c r="C50" i="1"/>
  <c r="C36" i="6" s="1"/>
  <c r="E50" i="1"/>
  <c r="E36" i="6" s="1"/>
  <c r="B51" i="1"/>
  <c r="B37" i="6" s="1"/>
  <c r="A52" i="1"/>
  <c r="A38" i="6" s="1"/>
  <c r="E52" i="1"/>
  <c r="E38" i="6" s="1"/>
  <c r="A54" i="1"/>
  <c r="A40" i="6" s="1"/>
  <c r="E54" i="1"/>
  <c r="E40" i="6" s="1"/>
  <c r="A56" i="1"/>
  <c r="A42" i="6" s="1"/>
  <c r="E56" i="1"/>
  <c r="E42" i="6" s="1"/>
  <c r="A60" i="1"/>
  <c r="A46" i="6" s="1"/>
  <c r="E60" i="1"/>
  <c r="E46" i="6" s="1"/>
  <c r="A62" i="1"/>
  <c r="A48" i="6" s="1"/>
  <c r="C62" i="1"/>
  <c r="C48" i="6" s="1"/>
  <c r="E62" i="1"/>
  <c r="E48" i="6" s="1"/>
  <c r="C178" i="1"/>
  <c r="B179" i="1" s="1"/>
  <c r="D179" i="1" s="1"/>
  <c r="D177" i="1"/>
  <c r="C19" i="1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E22" i="11" s="1"/>
  <c r="E11" i="11"/>
  <c r="P9" i="1"/>
  <c r="P14" i="6" s="1"/>
  <c r="P18" i="1"/>
  <c r="P23" i="6" s="1"/>
  <c r="P16" i="1"/>
  <c r="P21" i="6" s="1"/>
  <c r="P12" i="1"/>
  <c r="P17" i="6" s="1"/>
  <c r="AA18" i="1"/>
  <c r="AA23" i="6" s="1"/>
  <c r="AA9" i="1"/>
  <c r="AA14" i="6" s="1"/>
  <c r="F10" i="3"/>
  <c r="G10" i="3" s="1"/>
  <c r="Y13" i="1"/>
  <c r="Y18" i="6" s="1"/>
  <c r="Y19" i="1"/>
  <c r="Y24" i="6" s="1"/>
  <c r="Z11" i="1"/>
  <c r="Z16" i="6" s="1"/>
  <c r="F11" i="3"/>
  <c r="G11" i="3" s="1"/>
  <c r="P19" i="1"/>
  <c r="Q17" i="1"/>
  <c r="Q22" i="6" s="1"/>
  <c r="Q15" i="1"/>
  <c r="Q20" i="6" s="1"/>
  <c r="Q13" i="1"/>
  <c r="Q18" i="6" s="1"/>
  <c r="Q11" i="1"/>
  <c r="Q16" i="6" s="1"/>
  <c r="P8" i="1"/>
  <c r="P13" i="6" s="1"/>
  <c r="Q7" i="1"/>
  <c r="Q12" i="6" s="1"/>
  <c r="Q19" i="1"/>
  <c r="Q24" i="6" s="1"/>
  <c r="P13" i="1"/>
  <c r="P18" i="6" s="1"/>
  <c r="E34" i="5"/>
  <c r="E36" i="5" s="1"/>
  <c r="E25" i="5" s="1"/>
  <c r="C52" i="5"/>
  <c r="C54" i="5" s="1"/>
  <c r="Y18" i="1"/>
  <c r="Y23" i="6" s="1"/>
  <c r="Y16" i="1"/>
  <c r="Y14" i="1"/>
  <c r="Y19" i="6" s="1"/>
  <c r="F8" i="3"/>
  <c r="G8" i="3" s="1"/>
  <c r="Z9" i="1"/>
  <c r="Z14" i="6" s="1"/>
  <c r="Y7" i="1"/>
  <c r="Y12" i="6" s="1"/>
  <c r="Z18" i="1"/>
  <c r="Z23" i="6" s="1"/>
  <c r="Z16" i="1"/>
  <c r="Z21" i="6" s="1"/>
  <c r="Z14" i="1"/>
  <c r="Z19" i="6" s="1"/>
  <c r="Z12" i="1"/>
  <c r="Z17" i="6" s="1"/>
  <c r="F9" i="3"/>
  <c r="G9" i="3" s="1"/>
  <c r="Q18" i="1"/>
  <c r="Q16" i="1"/>
  <c r="Q14" i="1"/>
  <c r="Q12" i="1"/>
  <c r="R9" i="1"/>
  <c r="R14" i="6" s="1"/>
  <c r="R16" i="1"/>
  <c r="R21" i="6" s="1"/>
  <c r="Z19" i="1"/>
  <c r="Z24" i="6" s="1"/>
  <c r="AA11" i="1"/>
  <c r="AA16" i="6" s="1"/>
  <c r="AA7" i="1"/>
  <c r="AA12" i="6" s="1"/>
  <c r="Y6" i="1"/>
  <c r="Y11" i="6" s="1"/>
  <c r="Z17" i="1"/>
  <c r="Z22" i="6" s="1"/>
  <c r="Z15" i="1"/>
  <c r="Z20" i="6" s="1"/>
  <c r="Z13" i="1"/>
  <c r="Z18" i="6" s="1"/>
  <c r="F12" i="3"/>
  <c r="G12" i="3" s="1"/>
  <c r="AA15" i="1"/>
  <c r="AA20" i="6" s="1"/>
  <c r="Z8" i="1"/>
  <c r="Z13" i="6" s="1"/>
  <c r="AA19" i="1"/>
  <c r="AA24" i="6" s="1"/>
  <c r="Z10" i="1"/>
  <c r="Z15" i="6" s="1"/>
  <c r="F13" i="3"/>
  <c r="G13" i="3" s="1"/>
  <c r="AA10" i="1"/>
  <c r="AA6" i="1"/>
  <c r="AA11" i="6" s="1"/>
  <c r="F14" i="3"/>
  <c r="G14" i="3" s="1"/>
  <c r="Z6" i="1"/>
  <c r="R7" i="1"/>
  <c r="R12" i="6" s="1"/>
  <c r="Y9" i="1"/>
  <c r="Y14" i="6" s="1"/>
  <c r="D17" i="5"/>
  <c r="D19" i="5" s="1"/>
  <c r="C34" i="5"/>
  <c r="C36" i="5" s="1"/>
  <c r="E52" i="5"/>
  <c r="E54" i="5" s="1"/>
  <c r="P6" i="1"/>
  <c r="P11" i="6" s="1"/>
  <c r="Z7" i="1"/>
  <c r="Z12" i="6" s="1"/>
  <c r="Q9" i="1"/>
  <c r="C17" i="5"/>
  <c r="C19" i="5" s="1"/>
  <c r="D34" i="5"/>
  <c r="D52" i="5"/>
  <c r="D54" i="5" s="1"/>
  <c r="F17" i="5"/>
  <c r="F19" i="5" s="1"/>
  <c r="AF10" i="1"/>
  <c r="J62" i="1"/>
  <c r="J48" i="6" s="1"/>
  <c r="J60" i="1"/>
  <c r="J46" i="6" s="1"/>
  <c r="J57" i="1"/>
  <c r="J43" i="6" s="1"/>
  <c r="J56" i="1"/>
  <c r="J42" i="6" s="1"/>
  <c r="J55" i="1"/>
  <c r="J41" i="6" s="1"/>
  <c r="J54" i="1"/>
  <c r="J40" i="6" s="1"/>
  <c r="J53" i="1"/>
  <c r="J39" i="6" s="1"/>
  <c r="J52" i="1"/>
  <c r="J38" i="6" s="1"/>
  <c r="J51" i="1"/>
  <c r="J37" i="6" s="1"/>
  <c r="J50" i="1"/>
  <c r="J36" i="6" s="1"/>
  <c r="J49" i="1"/>
  <c r="J35" i="6" s="1"/>
  <c r="J40" i="1"/>
  <c r="J39" i="1"/>
  <c r="J38" i="1"/>
  <c r="J37" i="1"/>
  <c r="J36" i="1"/>
  <c r="J35" i="1"/>
  <c r="J34" i="1"/>
  <c r="J33" i="1"/>
  <c r="J61" i="1"/>
  <c r="J47" i="6" s="1"/>
  <c r="J59" i="1"/>
  <c r="J45" i="6" s="1"/>
  <c r="J58" i="1"/>
  <c r="J44" i="6" s="1"/>
  <c r="L62" i="1"/>
  <c r="L48" i="6" s="1"/>
  <c r="L60" i="1"/>
  <c r="L46" i="6" s="1"/>
  <c r="L57" i="1"/>
  <c r="L43" i="6" s="1"/>
  <c r="L56" i="1"/>
  <c r="L42" i="6" s="1"/>
  <c r="L55" i="1"/>
  <c r="L41" i="6" s="1"/>
  <c r="L54" i="1"/>
  <c r="L40" i="6" s="1"/>
  <c r="L53" i="1"/>
  <c r="L39" i="6" s="1"/>
  <c r="L52" i="1"/>
  <c r="L38" i="6" s="1"/>
  <c r="L51" i="1"/>
  <c r="L37" i="6" s="1"/>
  <c r="L50" i="1"/>
  <c r="L36" i="6" s="1"/>
  <c r="L49" i="1"/>
  <c r="L35" i="6" s="1"/>
  <c r="L40" i="1"/>
  <c r="L39" i="1"/>
  <c r="L38" i="1"/>
  <c r="L37" i="1"/>
  <c r="L36" i="1"/>
  <c r="L35" i="1"/>
  <c r="L34" i="1"/>
  <c r="L33" i="1"/>
  <c r="L61" i="1"/>
  <c r="L47" i="6" s="1"/>
  <c r="L59" i="1"/>
  <c r="L45" i="6" s="1"/>
  <c r="L58" i="1"/>
  <c r="L44" i="6" s="1"/>
  <c r="E4" i="5"/>
  <c r="E17" i="5" s="1"/>
  <c r="E19" i="5" s="1"/>
  <c r="J27" i="1"/>
  <c r="L27" i="1"/>
  <c r="J28" i="1"/>
  <c r="L28" i="1"/>
  <c r="J29" i="1"/>
  <c r="L29" i="1"/>
  <c r="J30" i="1"/>
  <c r="L30" i="1"/>
  <c r="J31" i="1"/>
  <c r="L31" i="1"/>
  <c r="J32" i="1"/>
  <c r="K61" i="1"/>
  <c r="K47" i="6" s="1"/>
  <c r="K59" i="1"/>
  <c r="K45" i="6" s="1"/>
  <c r="K58" i="1"/>
  <c r="K44" i="6" s="1"/>
  <c r="K62" i="1"/>
  <c r="K48" i="6" s="1"/>
  <c r="K60" i="1"/>
  <c r="K46" i="6" s="1"/>
  <c r="K57" i="1"/>
  <c r="K43" i="6" s="1"/>
  <c r="K56" i="1"/>
  <c r="K42" i="6" s="1"/>
  <c r="K55" i="1"/>
  <c r="K41" i="6" s="1"/>
  <c r="K54" i="1"/>
  <c r="K40" i="6" s="1"/>
  <c r="K53" i="1"/>
  <c r="K39" i="6" s="1"/>
  <c r="K52" i="1"/>
  <c r="K38" i="6" s="1"/>
  <c r="K51" i="1"/>
  <c r="K37" i="6" s="1"/>
  <c r="K50" i="1"/>
  <c r="K36" i="6" s="1"/>
  <c r="K49" i="1"/>
  <c r="K35" i="6" s="1"/>
  <c r="K40" i="1"/>
  <c r="K39" i="1"/>
  <c r="K38" i="1"/>
  <c r="K37" i="1"/>
  <c r="K36" i="1"/>
  <c r="K35" i="1"/>
  <c r="K34" i="1"/>
  <c r="K33" i="1"/>
  <c r="K32" i="1"/>
  <c r="F39" i="5"/>
  <c r="K27" i="1"/>
  <c r="K28" i="1"/>
  <c r="K29" i="1"/>
  <c r="K30" i="1"/>
  <c r="K31" i="1"/>
  <c r="L32" i="1"/>
  <c r="D36" i="5"/>
  <c r="D35" i="5"/>
  <c r="E35" i="5"/>
  <c r="F34" i="5"/>
  <c r="T31" i="1"/>
  <c r="E6" i="5"/>
  <c r="D6" i="5"/>
  <c r="C18" i="5"/>
  <c r="E18" i="5"/>
  <c r="F18" i="5"/>
  <c r="D41" i="5"/>
  <c r="C41" i="5"/>
  <c r="D53" i="5"/>
  <c r="C53" i="5"/>
  <c r="E53" i="5"/>
  <c r="N37" i="1" l="1"/>
  <c r="D34" i="1"/>
  <c r="D82" i="1" s="1"/>
  <c r="D17" i="24"/>
  <c r="D18" i="6"/>
  <c r="D14" i="20" s="1"/>
  <c r="N33" i="1"/>
  <c r="AA22" i="6"/>
  <c r="Q39" i="1"/>
  <c r="N30" i="1"/>
  <c r="AA15" i="6"/>
  <c r="AF14" i="1"/>
  <c r="Q19" i="6"/>
  <c r="H177" i="1"/>
  <c r="H178" i="1" s="1"/>
  <c r="H179" i="1" s="1"/>
  <c r="I177" i="1"/>
  <c r="I178" i="1" s="1"/>
  <c r="I179" i="1" s="1"/>
  <c r="G177" i="1"/>
  <c r="G178" i="1" s="1"/>
  <c r="G179" i="1" s="1"/>
  <c r="G180" i="1" s="1"/>
  <c r="P177" i="1"/>
  <c r="P178" i="1" s="1"/>
  <c r="P179" i="1" s="1"/>
  <c r="V16" i="1"/>
  <c r="V21" i="6" s="1"/>
  <c r="M21" i="6"/>
  <c r="X13" i="1"/>
  <c r="X18" i="6" s="1"/>
  <c r="O18" i="6"/>
  <c r="V12" i="1"/>
  <c r="V17" i="6" s="1"/>
  <c r="M17" i="6"/>
  <c r="AB7" i="1"/>
  <c r="AB12" i="6" s="1"/>
  <c r="J12" i="6"/>
  <c r="AD12" i="1"/>
  <c r="AD17" i="6" s="1"/>
  <c r="L17" i="6"/>
  <c r="AG9" i="1"/>
  <c r="AF6" i="1"/>
  <c r="AI6" i="1" s="1"/>
  <c r="Z11" i="6"/>
  <c r="R18" i="1"/>
  <c r="R23" i="6" s="1"/>
  <c r="AE16" i="1"/>
  <c r="Y21" i="6"/>
  <c r="P10" i="1"/>
  <c r="P15" i="1"/>
  <c r="P20" i="6" s="1"/>
  <c r="AA12" i="1"/>
  <c r="AA17" i="6" s="1"/>
  <c r="X17" i="1"/>
  <c r="X22" i="6" s="1"/>
  <c r="O22" i="6"/>
  <c r="B20" i="24"/>
  <c r="B21" i="6"/>
  <c r="B17" i="20" s="1"/>
  <c r="V13" i="1"/>
  <c r="V18" i="6" s="1"/>
  <c r="M18" i="6"/>
  <c r="B33" i="1"/>
  <c r="B16" i="24"/>
  <c r="B17" i="6"/>
  <c r="B13" i="20" s="1"/>
  <c r="AD19" i="1"/>
  <c r="AD24" i="6" s="1"/>
  <c r="L24" i="6"/>
  <c r="AB17" i="1"/>
  <c r="AB22" i="6" s="1"/>
  <c r="J22" i="6"/>
  <c r="AD13" i="1"/>
  <c r="AD18" i="6" s="1"/>
  <c r="L18" i="6"/>
  <c r="AB11" i="1"/>
  <c r="AB16" i="6" s="1"/>
  <c r="J16" i="6"/>
  <c r="B30" i="1"/>
  <c r="B14" i="6"/>
  <c r="B10" i="20" s="1"/>
  <c r="B13" i="24"/>
  <c r="AD16" i="1"/>
  <c r="AD21" i="6" s="1"/>
  <c r="L21" i="6"/>
  <c r="AB12" i="1"/>
  <c r="AB17" i="6" s="1"/>
  <c r="J17" i="6"/>
  <c r="X18" i="1"/>
  <c r="X23" i="6" s="1"/>
  <c r="D18" i="5"/>
  <c r="M37" i="1"/>
  <c r="C35" i="5"/>
  <c r="Q37" i="1"/>
  <c r="Y8" i="1"/>
  <c r="Y13" i="6" s="1"/>
  <c r="R12" i="1"/>
  <c r="AF18" i="1"/>
  <c r="Q23" i="6"/>
  <c r="P11" i="1"/>
  <c r="P17" i="1"/>
  <c r="P22" i="6" s="1"/>
  <c r="P24" i="6"/>
  <c r="Y17" i="1"/>
  <c r="Y22" i="6" s="1"/>
  <c r="AA14" i="1"/>
  <c r="AA19" i="6" s="1"/>
  <c r="P14" i="1"/>
  <c r="P19" i="6" s="1"/>
  <c r="U19" i="1"/>
  <c r="U24" i="6" s="1"/>
  <c r="V17" i="1"/>
  <c r="V22" i="6" s="1"/>
  <c r="M22" i="6"/>
  <c r="U13" i="1"/>
  <c r="V10" i="1"/>
  <c r="V15" i="6" s="1"/>
  <c r="M15" i="6"/>
  <c r="S7" i="1"/>
  <c r="S12" i="6" s="1"/>
  <c r="B204" i="1"/>
  <c r="AN27" i="6"/>
  <c r="U18" i="1"/>
  <c r="U23" i="6" s="1"/>
  <c r="U14" i="1"/>
  <c r="U19" i="6" s="1"/>
  <c r="X11" i="1"/>
  <c r="X16" i="6" s="1"/>
  <c r="AB19" i="1"/>
  <c r="AB24" i="6" s="1"/>
  <c r="J24" i="6"/>
  <c r="X16" i="1"/>
  <c r="X21" i="6" s="1"/>
  <c r="AB13" i="1"/>
  <c r="AB18" i="6" s="1"/>
  <c r="J18" i="6"/>
  <c r="X10" i="1"/>
  <c r="X15" i="6" s="1"/>
  <c r="R6" i="1"/>
  <c r="L11" i="6"/>
  <c r="AB16" i="1"/>
  <c r="AB21" i="6" s="1"/>
  <c r="J21" i="6"/>
  <c r="X14" i="1"/>
  <c r="X19" i="6" s="1"/>
  <c r="C180" i="1"/>
  <c r="D180" i="1"/>
  <c r="Q30" i="1"/>
  <c r="J14" i="24"/>
  <c r="AF15" i="6"/>
  <c r="X19" i="1"/>
  <c r="X24" i="6" s="1"/>
  <c r="O24" i="6"/>
  <c r="V15" i="1"/>
  <c r="V20" i="6" s="1"/>
  <c r="J20" i="6"/>
  <c r="D32" i="1"/>
  <c r="D80" i="1" s="1"/>
  <c r="D15" i="24"/>
  <c r="D16" i="6"/>
  <c r="D12" i="20" s="1"/>
  <c r="B14" i="24"/>
  <c r="B15" i="6"/>
  <c r="B11" i="20" s="1"/>
  <c r="AD17" i="1"/>
  <c r="AD22" i="6" s="1"/>
  <c r="L22" i="6"/>
  <c r="AD11" i="1"/>
  <c r="AD16" i="6" s="1"/>
  <c r="L16" i="6"/>
  <c r="AB10" i="1"/>
  <c r="AB15" i="6" s="1"/>
  <c r="J15" i="6"/>
  <c r="C13" i="24"/>
  <c r="C14" i="6"/>
  <c r="C10" i="20" s="1"/>
  <c r="B34" i="1"/>
  <c r="B17" i="24"/>
  <c r="B18" i="6"/>
  <c r="B14" i="20" s="1"/>
  <c r="N31" i="1"/>
  <c r="Q35" i="1"/>
  <c r="AE13" i="1"/>
  <c r="AF9" i="1"/>
  <c r="Q14" i="6"/>
  <c r="P7" i="1"/>
  <c r="AF16" i="1"/>
  <c r="Q21" i="6"/>
  <c r="V19" i="1"/>
  <c r="V24" i="6" s="1"/>
  <c r="M24" i="6"/>
  <c r="R17" i="1"/>
  <c r="R22" i="6" s="1"/>
  <c r="C30" i="1"/>
  <c r="C52" i="1" s="1"/>
  <c r="C38" i="6" s="1"/>
  <c r="Q31" i="1"/>
  <c r="AF19" i="1"/>
  <c r="Q40" i="1" s="1"/>
  <c r="AF8" i="1"/>
  <c r="AA8" i="1"/>
  <c r="AA13" i="6" s="1"/>
  <c r="AA13" i="1"/>
  <c r="AA18" i="6" s="1"/>
  <c r="R14" i="1"/>
  <c r="AF12" i="1"/>
  <c r="Q17" i="6"/>
  <c r="Y12" i="1"/>
  <c r="Y17" i="6" s="1"/>
  <c r="R11" i="1"/>
  <c r="R16" i="6" s="1"/>
  <c r="Y11" i="1"/>
  <c r="Y16" i="6" s="1"/>
  <c r="AA16" i="1"/>
  <c r="AA21" i="6" s="1"/>
  <c r="U17" i="1"/>
  <c r="U22" i="6" s="1"/>
  <c r="V11" i="1"/>
  <c r="V16" i="6" s="1"/>
  <c r="M16" i="6"/>
  <c r="V9" i="1"/>
  <c r="V14" i="6" s="1"/>
  <c r="J14" i="6"/>
  <c r="V7" i="1"/>
  <c r="V12" i="6" s="1"/>
  <c r="M12" i="6"/>
  <c r="B22" i="24"/>
  <c r="B23" i="6"/>
  <c r="B19" i="20" s="1"/>
  <c r="U16" i="1"/>
  <c r="U21" i="6" s="1"/>
  <c r="B18" i="24"/>
  <c r="B19" i="6"/>
  <c r="B15" i="20" s="1"/>
  <c r="U12" i="1"/>
  <c r="U17" i="6" s="1"/>
  <c r="S11" i="1"/>
  <c r="S16" i="6" s="1"/>
  <c r="S10" i="1"/>
  <c r="S15" i="6" s="1"/>
  <c r="AD18" i="1"/>
  <c r="AD23" i="6" s="1"/>
  <c r="AD14" i="1"/>
  <c r="AD19" i="6" s="1"/>
  <c r="D9" i="1"/>
  <c r="X7" i="1"/>
  <c r="X12" i="6" s="1"/>
  <c r="X12" i="1"/>
  <c r="X17" i="6" s="1"/>
  <c r="AD7" i="1"/>
  <c r="AD12" i="6" s="1"/>
  <c r="L12" i="6"/>
  <c r="AB6" i="1"/>
  <c r="AB11" i="6" s="1"/>
  <c r="J11" i="6"/>
  <c r="R10" i="1"/>
  <c r="R15" i="6" s="1"/>
  <c r="L15" i="6"/>
  <c r="D29" i="1"/>
  <c r="D13" i="6"/>
  <c r="D9" i="20" s="1"/>
  <c r="F52" i="5"/>
  <c r="F8" i="5"/>
  <c r="F5" i="5"/>
  <c r="F6" i="5"/>
  <c r="F14" i="5" s="1"/>
  <c r="F15" i="5" s="1"/>
  <c r="F16" i="5" s="1"/>
  <c r="C43" i="5"/>
  <c r="C49" i="5" s="1"/>
  <c r="C50" i="5" s="1"/>
  <c r="C40" i="5"/>
  <c r="C25" i="5"/>
  <c r="C23" i="5"/>
  <c r="D25" i="5"/>
  <c r="D23" i="5"/>
  <c r="E5" i="5"/>
  <c r="E8" i="5"/>
  <c r="D43" i="5"/>
  <c r="D49" i="5" s="1"/>
  <c r="D50" i="5" s="1"/>
  <c r="D40" i="5"/>
  <c r="C5" i="5"/>
  <c r="C8" i="5"/>
  <c r="E41" i="5"/>
  <c r="E49" i="5" s="1"/>
  <c r="E50" i="5" s="1"/>
  <c r="E43" i="5"/>
  <c r="D8" i="5"/>
  <c r="D5" i="5"/>
  <c r="D14" i="5" s="1"/>
  <c r="D15" i="5" s="1"/>
  <c r="D16" i="5" s="1"/>
  <c r="S34" i="1"/>
  <c r="AB34" i="1" s="1"/>
  <c r="S56" i="1" s="1"/>
  <c r="S42" i="6" s="1"/>
  <c r="C73" i="1"/>
  <c r="C74" i="1"/>
  <c r="T27" i="1"/>
  <c r="AC27" i="1" s="1"/>
  <c r="T49" i="1" s="1"/>
  <c r="AF11" i="1"/>
  <c r="O177" i="1"/>
  <c r="O178" i="1" s="1"/>
  <c r="O179" i="1" s="1"/>
  <c r="M177" i="1"/>
  <c r="M178" i="1" s="1"/>
  <c r="M179" i="1" s="1"/>
  <c r="K177" i="1"/>
  <c r="K178" i="1" s="1"/>
  <c r="K179" i="1" s="1"/>
  <c r="N177" i="1"/>
  <c r="N178" i="1" s="1"/>
  <c r="N179" i="1" s="1"/>
  <c r="L177" i="1"/>
  <c r="L178" i="1" s="1"/>
  <c r="L179" i="1" s="1"/>
  <c r="J177" i="1"/>
  <c r="J178" i="1" s="1"/>
  <c r="J179" i="1" s="1"/>
  <c r="AB18" i="1"/>
  <c r="AB23" i="6" s="1"/>
  <c r="S18" i="1"/>
  <c r="S23" i="6" s="1"/>
  <c r="B37" i="1"/>
  <c r="C16" i="1"/>
  <c r="R15" i="1"/>
  <c r="R20" i="6" s="1"/>
  <c r="AD15" i="1"/>
  <c r="AD20" i="6" s="1"/>
  <c r="U15" i="1"/>
  <c r="U20" i="6" s="1"/>
  <c r="AB14" i="1"/>
  <c r="AB19" i="6" s="1"/>
  <c r="S14" i="1"/>
  <c r="S19" i="6" s="1"/>
  <c r="D12" i="1"/>
  <c r="D54" i="1"/>
  <c r="D40" i="6" s="1"/>
  <c r="AD8" i="1"/>
  <c r="AD13" i="6" s="1"/>
  <c r="U8" i="1"/>
  <c r="U13" i="6" s="1"/>
  <c r="R8" i="1"/>
  <c r="R13" i="6" s="1"/>
  <c r="A153" i="1"/>
  <c r="AL26" i="6" s="1"/>
  <c r="A104" i="1"/>
  <c r="A151" i="1"/>
  <c r="AL24" i="6" s="1"/>
  <c r="A102" i="1"/>
  <c r="C77" i="1"/>
  <c r="C51" i="1"/>
  <c r="C37" i="6" s="1"/>
  <c r="B39" i="1"/>
  <c r="C18" i="1"/>
  <c r="B35" i="1"/>
  <c r="C14" i="1"/>
  <c r="A171" i="1"/>
  <c r="AL44" i="6" s="1"/>
  <c r="A167" i="1"/>
  <c r="AL40" i="6" s="1"/>
  <c r="A166" i="1"/>
  <c r="AL39" i="6" s="1"/>
  <c r="A165" i="1"/>
  <c r="AL38" i="6" s="1"/>
  <c r="A164" i="1"/>
  <c r="AL37" i="6" s="1"/>
  <c r="A163" i="1"/>
  <c r="AL36" i="6" s="1"/>
  <c r="A160" i="1"/>
  <c r="AL33" i="6" s="1"/>
  <c r="V18" i="1"/>
  <c r="V23" i="6" s="1"/>
  <c r="C152" i="1"/>
  <c r="AN25" i="6" s="1"/>
  <c r="X8" i="1"/>
  <c r="X13" i="6" s="1"/>
  <c r="C155" i="1"/>
  <c r="AN28" i="6" s="1"/>
  <c r="E169" i="1"/>
  <c r="AP42" i="6" s="1"/>
  <c r="A162" i="1"/>
  <c r="AL35" i="6" s="1"/>
  <c r="A161" i="1"/>
  <c r="AL34" i="6" s="1"/>
  <c r="E159" i="1"/>
  <c r="AP32" i="6" s="1"/>
  <c r="C150" i="1"/>
  <c r="AN23" i="6" s="1"/>
  <c r="B146" i="1"/>
  <c r="AM19" i="6" s="1"/>
  <c r="B31" i="1"/>
  <c r="D10" i="1"/>
  <c r="AI12" i="1"/>
  <c r="AB15" i="1"/>
  <c r="AB20" i="6" s="1"/>
  <c r="S15" i="1"/>
  <c r="S20" i="6" s="1"/>
  <c r="B81" i="1"/>
  <c r="B55" i="1"/>
  <c r="B41" i="6" s="1"/>
  <c r="AB9" i="1"/>
  <c r="AB14" i="6" s="1"/>
  <c r="S9" i="1"/>
  <c r="S14" i="6" s="1"/>
  <c r="AB8" i="1"/>
  <c r="AB13" i="6" s="1"/>
  <c r="S8" i="1"/>
  <c r="S13" i="6" s="1"/>
  <c r="V6" i="1"/>
  <c r="V11" i="6" s="1"/>
  <c r="S6" i="1"/>
  <c r="S11" i="6" s="1"/>
  <c r="E153" i="1"/>
  <c r="AP26" i="6" s="1"/>
  <c r="E104" i="1"/>
  <c r="E151" i="1"/>
  <c r="AP24" i="6" s="1"/>
  <c r="E102" i="1"/>
  <c r="C81" i="1"/>
  <c r="C55" i="1"/>
  <c r="C41" i="6" s="1"/>
  <c r="E171" i="1"/>
  <c r="AP44" i="6" s="1"/>
  <c r="A169" i="1"/>
  <c r="AL42" i="6" s="1"/>
  <c r="E161" i="1"/>
  <c r="AP34" i="6" s="1"/>
  <c r="E160" i="1"/>
  <c r="AP33" i="6" s="1"/>
  <c r="A159" i="1"/>
  <c r="AL32" i="6" s="1"/>
  <c r="V14" i="1"/>
  <c r="V19" i="6" s="1"/>
  <c r="C148" i="1"/>
  <c r="AN21" i="6" s="1"/>
  <c r="C146" i="1"/>
  <c r="AN19" i="6" s="1"/>
  <c r="V8" i="1"/>
  <c r="V13" i="6" s="1"/>
  <c r="D142" i="1"/>
  <c r="AO15" i="6" s="1"/>
  <c r="D93" i="1"/>
  <c r="E167" i="1"/>
  <c r="AP40" i="6" s="1"/>
  <c r="E166" i="1"/>
  <c r="AP39" i="6" s="1"/>
  <c r="E165" i="1"/>
  <c r="AP38" i="6" s="1"/>
  <c r="E164" i="1"/>
  <c r="AP37" i="6" s="1"/>
  <c r="E163" i="1"/>
  <c r="AP36" i="6" s="1"/>
  <c r="E162" i="1"/>
  <c r="AP35" i="6" s="1"/>
  <c r="B141" i="1"/>
  <c r="AM14" i="6" s="1"/>
  <c r="D75" i="1"/>
  <c r="C90" i="1"/>
  <c r="X15" i="1"/>
  <c r="X20" i="6" s="1"/>
  <c r="C78" i="1"/>
  <c r="AG11" i="1"/>
  <c r="AG16" i="6" s="1"/>
  <c r="AF7" i="1"/>
  <c r="AF15" i="1"/>
  <c r="AG16" i="1"/>
  <c r="AG21" i="6" s="1"/>
  <c r="AF13" i="1"/>
  <c r="AF17" i="1"/>
  <c r="F36" i="5"/>
  <c r="F25" i="5" s="1"/>
  <c r="F35" i="5"/>
  <c r="E23" i="5"/>
  <c r="E14" i="5"/>
  <c r="E15" i="5" s="1"/>
  <c r="E16" i="5" s="1"/>
  <c r="C14" i="5"/>
  <c r="C15" i="5" s="1"/>
  <c r="C18" i="24" l="1"/>
  <c r="C19" i="6"/>
  <c r="C15" i="20" s="1"/>
  <c r="AE11" i="1"/>
  <c r="P16" i="6"/>
  <c r="AG18" i="1"/>
  <c r="AG23" i="6" s="1"/>
  <c r="C20" i="24"/>
  <c r="C21" i="6"/>
  <c r="C17" i="20" s="1"/>
  <c r="Q27" i="1"/>
  <c r="Z27" i="1" s="1"/>
  <c r="Q49" i="1" s="1"/>
  <c r="J17" i="24"/>
  <c r="AF18" i="6"/>
  <c r="AI18" i="6" s="1"/>
  <c r="AE8" i="1"/>
  <c r="AE13" i="6" s="1"/>
  <c r="AI9" i="1"/>
  <c r="J13" i="24"/>
  <c r="AF14" i="6"/>
  <c r="AI14" i="6" s="1"/>
  <c r="T30" i="1"/>
  <c r="AG14" i="6"/>
  <c r="U30" i="1"/>
  <c r="O30" i="1"/>
  <c r="AE17" i="1"/>
  <c r="AE22" i="6" s="1"/>
  <c r="AE9" i="1"/>
  <c r="AE14" i="6" s="1"/>
  <c r="D56" i="1"/>
  <c r="D42" i="6" s="1"/>
  <c r="C22" i="24"/>
  <c r="C23" i="6"/>
  <c r="C19" i="20" s="1"/>
  <c r="AF16" i="6"/>
  <c r="AI16" i="6" s="1"/>
  <c r="J15" i="24"/>
  <c r="AF17" i="6"/>
  <c r="J16" i="24"/>
  <c r="T33" i="1"/>
  <c r="AI8" i="1"/>
  <c r="J12" i="24"/>
  <c r="AF13" i="6"/>
  <c r="N29" i="1"/>
  <c r="T29" i="1"/>
  <c r="AC29" i="1" s="1"/>
  <c r="T51" i="1" s="1"/>
  <c r="T37" i="6" s="1"/>
  <c r="J20" i="24"/>
  <c r="AF21" i="6"/>
  <c r="T37" i="1"/>
  <c r="U18" i="6"/>
  <c r="AG13" i="1"/>
  <c r="AE19" i="1"/>
  <c r="J22" i="24"/>
  <c r="AF23" i="6"/>
  <c r="N39" i="1"/>
  <c r="T39" i="1"/>
  <c r="Q33" i="1"/>
  <c r="B52" i="1"/>
  <c r="B38" i="6" s="1"/>
  <c r="B78" i="1"/>
  <c r="B144" i="1" s="1"/>
  <c r="AM17" i="6" s="1"/>
  <c r="AE10" i="1"/>
  <c r="P15" i="6"/>
  <c r="Q29" i="1"/>
  <c r="Z29" i="1" s="1"/>
  <c r="Q51" i="1" s="1"/>
  <c r="Q37" i="6" s="1"/>
  <c r="H180" i="1"/>
  <c r="AG10" i="1"/>
  <c r="N40" i="1"/>
  <c r="J23" i="24"/>
  <c r="AF24" i="6"/>
  <c r="B82" i="1"/>
  <c r="B148" i="1" s="1"/>
  <c r="AM21" i="6" s="1"/>
  <c r="B56" i="1"/>
  <c r="B42" i="6" s="1"/>
  <c r="AE21" i="6"/>
  <c r="S37" i="1"/>
  <c r="J10" i="24"/>
  <c r="AF11" i="6"/>
  <c r="AI11" i="6" s="1"/>
  <c r="J18" i="24"/>
  <c r="AF19" i="6"/>
  <c r="N35" i="1"/>
  <c r="T35" i="1"/>
  <c r="J19" i="24"/>
  <c r="AF20" i="6"/>
  <c r="I180" i="1"/>
  <c r="T40" i="1"/>
  <c r="J11" i="24"/>
  <c r="AF12" i="6"/>
  <c r="AI12" i="6" s="1"/>
  <c r="J21" i="24"/>
  <c r="AF22" i="6"/>
  <c r="AE12" i="1"/>
  <c r="AE17" i="6" s="1"/>
  <c r="D15" i="6"/>
  <c r="D14" i="24"/>
  <c r="D16" i="24"/>
  <c r="D17" i="6"/>
  <c r="R30" i="1"/>
  <c r="N27" i="1"/>
  <c r="W27" i="1" s="1"/>
  <c r="N49" i="1" s="1"/>
  <c r="P37" i="1"/>
  <c r="D30" i="1"/>
  <c r="D14" i="6"/>
  <c r="D13" i="24"/>
  <c r="AJ9" i="1"/>
  <c r="R19" i="6"/>
  <c r="AG14" i="1"/>
  <c r="AG19" i="1"/>
  <c r="P12" i="6"/>
  <c r="AE7" i="1"/>
  <c r="AH13" i="1"/>
  <c r="AE18" i="6"/>
  <c r="P34" i="1"/>
  <c r="Y34" i="1" s="1"/>
  <c r="P56" i="1" s="1"/>
  <c r="P42" i="6" s="1"/>
  <c r="M34" i="1"/>
  <c r="V34" i="1" s="1"/>
  <c r="M56" i="1" s="1"/>
  <c r="M42" i="6" s="1"/>
  <c r="R11" i="6"/>
  <c r="AG6" i="1"/>
  <c r="AG12" i="1"/>
  <c r="R17" i="6"/>
  <c r="AG7" i="1"/>
  <c r="P180" i="1"/>
  <c r="AG17" i="1"/>
  <c r="D77" i="1"/>
  <c r="D51" i="1"/>
  <c r="D37" i="6" s="1"/>
  <c r="W29" i="1"/>
  <c r="N51" i="1" s="1"/>
  <c r="N37" i="6" s="1"/>
  <c r="AI13" i="6"/>
  <c r="K180" i="1"/>
  <c r="M180" i="1"/>
  <c r="O180" i="1"/>
  <c r="J180" i="1"/>
  <c r="L180" i="1"/>
  <c r="N180" i="1"/>
  <c r="E51" i="5"/>
  <c r="C16" i="5"/>
  <c r="D51" i="5"/>
  <c r="C51" i="5"/>
  <c r="F53" i="5"/>
  <c r="F54" i="5"/>
  <c r="C140" i="1"/>
  <c r="AN13" i="6" s="1"/>
  <c r="C139" i="1"/>
  <c r="AI11" i="1"/>
  <c r="Q32" i="1"/>
  <c r="Z32" i="1" s="1"/>
  <c r="Q54" i="1" s="1"/>
  <c r="Q40" i="6" s="1"/>
  <c r="N32" i="1"/>
  <c r="W32" i="1" s="1"/>
  <c r="N54" i="1" s="1"/>
  <c r="N40" i="6" s="1"/>
  <c r="AE6" i="1"/>
  <c r="AE11" i="6" s="1"/>
  <c r="AE15" i="1"/>
  <c r="AE20" i="6" s="1"/>
  <c r="AE18" i="1"/>
  <c r="T32" i="1"/>
  <c r="AC32" i="1" s="1"/>
  <c r="T54" i="1" s="1"/>
  <c r="T40" i="6" s="1"/>
  <c r="P39" i="1"/>
  <c r="H75" i="1"/>
  <c r="N35" i="6"/>
  <c r="K75" i="1"/>
  <c r="Q35" i="6"/>
  <c r="D141" i="1"/>
  <c r="AO14" i="6" s="1"/>
  <c r="D92" i="1"/>
  <c r="P75" i="1"/>
  <c r="F75" i="1"/>
  <c r="C147" i="1"/>
  <c r="AN20" i="6" s="1"/>
  <c r="E170" i="1"/>
  <c r="AP43" i="6" s="1"/>
  <c r="B147" i="1"/>
  <c r="AM20" i="6" s="1"/>
  <c r="D148" i="1"/>
  <c r="AO21" i="6" s="1"/>
  <c r="D99" i="1"/>
  <c r="B79" i="1"/>
  <c r="B53" i="1"/>
  <c r="B39" i="6" s="1"/>
  <c r="B83" i="1"/>
  <c r="B57" i="1"/>
  <c r="B43" i="6" s="1"/>
  <c r="B87" i="1"/>
  <c r="B61" i="1"/>
  <c r="B47" i="6" s="1"/>
  <c r="C143" i="1"/>
  <c r="AN16" i="6" s="1"/>
  <c r="A170" i="1"/>
  <c r="AL43" i="6" s="1"/>
  <c r="D33" i="1"/>
  <c r="B17" i="1"/>
  <c r="D16" i="1"/>
  <c r="C37" i="1"/>
  <c r="N75" i="1"/>
  <c r="T35" i="6"/>
  <c r="C144" i="1"/>
  <c r="AN17" i="6" s="1"/>
  <c r="C156" i="1"/>
  <c r="AN29" i="6" s="1"/>
  <c r="C91" i="1"/>
  <c r="D159" i="1"/>
  <c r="AO32" i="6" s="1"/>
  <c r="E168" i="1"/>
  <c r="AP41" i="6" s="1"/>
  <c r="S27" i="1"/>
  <c r="AB27" i="1" s="1"/>
  <c r="S49" i="1" s="1"/>
  <c r="M36" i="1"/>
  <c r="S36" i="1"/>
  <c r="P36" i="1"/>
  <c r="D31" i="1"/>
  <c r="AH10" i="1"/>
  <c r="AJ10" i="1"/>
  <c r="C35" i="1"/>
  <c r="B15" i="1"/>
  <c r="D14" i="1"/>
  <c r="C39" i="1"/>
  <c r="B19" i="1"/>
  <c r="D18" i="1"/>
  <c r="A168" i="1"/>
  <c r="AL41" i="6" s="1"/>
  <c r="AG8" i="1"/>
  <c r="AG13" i="6" s="1"/>
  <c r="D146" i="1"/>
  <c r="AO19" i="6" s="1"/>
  <c r="D97" i="1"/>
  <c r="AE14" i="1"/>
  <c r="AE19" i="6" s="1"/>
  <c r="AG15" i="1"/>
  <c r="AG20" i="6" s="1"/>
  <c r="B85" i="1"/>
  <c r="B59" i="1"/>
  <c r="B45" i="6" s="1"/>
  <c r="AI10" i="1"/>
  <c r="AH18" i="6"/>
  <c r="R39" i="1"/>
  <c r="U39" i="1"/>
  <c r="AI13" i="1"/>
  <c r="N34" i="1"/>
  <c r="W34" i="1" s="1"/>
  <c r="N56" i="1" s="1"/>
  <c r="N42" i="6" s="1"/>
  <c r="Q34" i="1"/>
  <c r="Z34" i="1" s="1"/>
  <c r="Q56" i="1" s="1"/>
  <c r="Q42" i="6" s="1"/>
  <c r="T34" i="1"/>
  <c r="AC34" i="1" s="1"/>
  <c r="T56" i="1" s="1"/>
  <c r="T42" i="6" s="1"/>
  <c r="AH11" i="6"/>
  <c r="S33" i="1"/>
  <c r="AB33" i="1" s="1"/>
  <c r="S55" i="1" s="1"/>
  <c r="S41" i="6" s="1"/>
  <c r="AI7" i="1"/>
  <c r="N28" i="1"/>
  <c r="W28" i="1" s="1"/>
  <c r="Q28" i="1"/>
  <c r="Z28" i="1" s="1"/>
  <c r="T28" i="1"/>
  <c r="AC28" i="1" s="1"/>
  <c r="R32" i="1"/>
  <c r="AA32" i="1" s="1"/>
  <c r="AJ11" i="1"/>
  <c r="O32" i="1"/>
  <c r="X32" i="1" s="1"/>
  <c r="U32" i="1"/>
  <c r="AD32" i="1" s="1"/>
  <c r="P38" i="1"/>
  <c r="M38" i="1"/>
  <c r="S38" i="1"/>
  <c r="N38" i="1"/>
  <c r="Q38" i="1"/>
  <c r="T38" i="1"/>
  <c r="P29" i="1"/>
  <c r="Y29" i="1" s="1"/>
  <c r="M29" i="1"/>
  <c r="V29" i="1" s="1"/>
  <c r="S29" i="1"/>
  <c r="AB29" i="1" s="1"/>
  <c r="AH8" i="1"/>
  <c r="AJ16" i="6"/>
  <c r="P30" i="1"/>
  <c r="M30" i="1"/>
  <c r="V30" i="1" s="1"/>
  <c r="M52" i="1" s="1"/>
  <c r="M38" i="6" s="1"/>
  <c r="S30" i="1"/>
  <c r="AH9" i="1"/>
  <c r="R37" i="1"/>
  <c r="O37" i="1"/>
  <c r="U37" i="1"/>
  <c r="N36" i="1"/>
  <c r="Q36" i="1"/>
  <c r="T36" i="1"/>
  <c r="D31" i="5"/>
  <c r="D32" i="5" s="1"/>
  <c r="D33" i="5" s="1"/>
  <c r="C31" i="5"/>
  <c r="C32" i="5" s="1"/>
  <c r="C33" i="5" s="1"/>
  <c r="E31" i="5"/>
  <c r="E32" i="5" s="1"/>
  <c r="E33" i="5" s="1"/>
  <c r="K141" i="1"/>
  <c r="H141" i="1"/>
  <c r="F23" i="5"/>
  <c r="N141" i="1"/>
  <c r="B23" i="24" l="1"/>
  <c r="B24" i="6"/>
  <c r="B20" i="20" s="1"/>
  <c r="AH7" i="1"/>
  <c r="AE12" i="6"/>
  <c r="AH12" i="6" s="1"/>
  <c r="P28" i="1"/>
  <c r="Y28" i="1" s="1"/>
  <c r="P50" i="1" s="1"/>
  <c r="P36" i="6" s="1"/>
  <c r="S28" i="1"/>
  <c r="AB28" i="1" s="1"/>
  <c r="S50" i="1" s="1"/>
  <c r="S36" i="6" s="1"/>
  <c r="M28" i="1"/>
  <c r="V28" i="1" s="1"/>
  <c r="M50" i="1" s="1"/>
  <c r="M36" i="6" s="1"/>
  <c r="D52" i="1"/>
  <c r="D38" i="6" s="1"/>
  <c r="D78" i="1"/>
  <c r="D13" i="20"/>
  <c r="AI17" i="6"/>
  <c r="AH17" i="6"/>
  <c r="M33" i="1"/>
  <c r="V33" i="1" s="1"/>
  <c r="M55" i="1" s="1"/>
  <c r="M41" i="6" s="1"/>
  <c r="D20" i="24"/>
  <c r="D21" i="6"/>
  <c r="AG22" i="6"/>
  <c r="U38" i="1"/>
  <c r="O38" i="1"/>
  <c r="R38" i="1"/>
  <c r="AG17" i="6"/>
  <c r="AJ17" i="6" s="1"/>
  <c r="U33" i="1"/>
  <c r="O33" i="1"/>
  <c r="R33" i="1"/>
  <c r="P33" i="1"/>
  <c r="Y33" i="1" s="1"/>
  <c r="P55" i="1" s="1"/>
  <c r="P41" i="6" s="1"/>
  <c r="AJ18" i="1"/>
  <c r="D19" i="6"/>
  <c r="D18" i="24"/>
  <c r="AH6" i="1"/>
  <c r="B22" i="6"/>
  <c r="B18" i="20" s="1"/>
  <c r="B21" i="24"/>
  <c r="M39" i="1"/>
  <c r="V39" i="1" s="1"/>
  <c r="M61" i="1" s="1"/>
  <c r="M47" i="6" s="1"/>
  <c r="AE23" i="6"/>
  <c r="AG11" i="6"/>
  <c r="AJ11" i="6" s="1"/>
  <c r="AJ6" i="1"/>
  <c r="U27" i="1"/>
  <c r="AD27" i="1" s="1"/>
  <c r="U49" i="1" s="1"/>
  <c r="R27" i="1"/>
  <c r="AA27" i="1" s="1"/>
  <c r="R49" i="1" s="1"/>
  <c r="O27" i="1"/>
  <c r="X27" i="1" s="1"/>
  <c r="O49" i="1" s="1"/>
  <c r="AG24" i="6"/>
  <c r="R40" i="1"/>
  <c r="O40" i="1"/>
  <c r="U40" i="1"/>
  <c r="W30" i="1"/>
  <c r="N52" i="1" s="1"/>
  <c r="N38" i="6" s="1"/>
  <c r="AJ13" i="1"/>
  <c r="AG18" i="6"/>
  <c r="AJ18" i="6" s="1"/>
  <c r="R34" i="1"/>
  <c r="AA34" i="1" s="1"/>
  <c r="R56" i="1" s="1"/>
  <c r="R42" i="6" s="1"/>
  <c r="U34" i="1"/>
  <c r="AD34" i="1" s="1"/>
  <c r="U56" i="1" s="1"/>
  <c r="U42" i="6" s="1"/>
  <c r="O34" i="1"/>
  <c r="X34" i="1" s="1"/>
  <c r="O56" i="1" s="1"/>
  <c r="O42" i="6" s="1"/>
  <c r="X30" i="1"/>
  <c r="O52" i="1" s="1"/>
  <c r="O38" i="6" s="1"/>
  <c r="AE16" i="6"/>
  <c r="AH16" i="6" s="1"/>
  <c r="M32" i="1"/>
  <c r="V32" i="1" s="1"/>
  <c r="M54" i="1" s="1"/>
  <c r="M40" i="6" s="1"/>
  <c r="P32" i="1"/>
  <c r="Y32" i="1" s="1"/>
  <c r="P54" i="1" s="1"/>
  <c r="P40" i="6" s="1"/>
  <c r="AH11" i="1"/>
  <c r="S32" i="1"/>
  <c r="AB32" i="1" s="1"/>
  <c r="S54" i="1" s="1"/>
  <c r="S40" i="6" s="1"/>
  <c r="Y30" i="1"/>
  <c r="P52" i="1" s="1"/>
  <c r="P38" i="6" s="1"/>
  <c r="M27" i="1"/>
  <c r="V27" i="1" s="1"/>
  <c r="M49" i="1" s="1"/>
  <c r="I75" i="1" s="1"/>
  <c r="AD30" i="1"/>
  <c r="U52" i="1" s="1"/>
  <c r="U38" i="6" s="1"/>
  <c r="Z30" i="1"/>
  <c r="Q52" i="1" s="1"/>
  <c r="Q38" i="6" s="1"/>
  <c r="AJ16" i="1"/>
  <c r="AB30" i="1"/>
  <c r="S52" i="1" s="1"/>
  <c r="S38" i="6" s="1"/>
  <c r="AH12" i="1"/>
  <c r="O39" i="1"/>
  <c r="D22" i="24"/>
  <c r="D23" i="6"/>
  <c r="B19" i="24"/>
  <c r="B20" i="6"/>
  <c r="B16" i="20" s="1"/>
  <c r="X31" i="1"/>
  <c r="O53" i="1" s="1"/>
  <c r="O39" i="6" s="1"/>
  <c r="P27" i="1"/>
  <c r="Y27" i="1" s="1"/>
  <c r="P49" i="1" s="1"/>
  <c r="AJ12" i="1"/>
  <c r="AG12" i="6"/>
  <c r="AJ12" i="6" s="1"/>
  <c r="AJ7" i="1"/>
  <c r="U28" i="1"/>
  <c r="AD28" i="1" s="1"/>
  <c r="U50" i="1" s="1"/>
  <c r="U36" i="6" s="1"/>
  <c r="O28" i="1"/>
  <c r="X28" i="1" s="1"/>
  <c r="O50" i="1" s="1"/>
  <c r="O36" i="6" s="1"/>
  <c r="R28" i="1"/>
  <c r="AA28" i="1" s="1"/>
  <c r="R50" i="1" s="1"/>
  <c r="R36" i="6" s="1"/>
  <c r="AG19" i="6"/>
  <c r="O35" i="1"/>
  <c r="R35" i="1"/>
  <c r="U35" i="1"/>
  <c r="D10" i="20"/>
  <c r="AJ14" i="6"/>
  <c r="AA30" i="1"/>
  <c r="R52" i="1" s="1"/>
  <c r="R38" i="6" s="1"/>
  <c r="D11" i="20"/>
  <c r="AI15" i="6"/>
  <c r="AH15" i="6"/>
  <c r="AJ15" i="6"/>
  <c r="AG15" i="6"/>
  <c r="R31" i="1"/>
  <c r="AA31" i="1" s="1"/>
  <c r="R53" i="1" s="1"/>
  <c r="R39" i="6" s="1"/>
  <c r="O31" i="1"/>
  <c r="U31" i="1"/>
  <c r="AD31" i="1" s="1"/>
  <c r="U53" i="1" s="1"/>
  <c r="U39" i="6" s="1"/>
  <c r="AE15" i="6"/>
  <c r="S31" i="1"/>
  <c r="AB31" i="1" s="1"/>
  <c r="S53" i="1" s="1"/>
  <c r="S39" i="6" s="1"/>
  <c r="M31" i="1"/>
  <c r="P31" i="1"/>
  <c r="AE24" i="6"/>
  <c r="P40" i="1"/>
  <c r="M40" i="1"/>
  <c r="S40" i="1"/>
  <c r="AC30" i="1"/>
  <c r="T52" i="1" s="1"/>
  <c r="T38" i="6" s="1"/>
  <c r="W141" i="1"/>
  <c r="AY14" i="6"/>
  <c r="V141" i="1"/>
  <c r="AV14" i="6"/>
  <c r="U141" i="1"/>
  <c r="AS14" i="6"/>
  <c r="B203" i="1"/>
  <c r="C204" i="1" s="1"/>
  <c r="H204" i="1" s="1"/>
  <c r="H206" i="1" s="1"/>
  <c r="AN12" i="6"/>
  <c r="D94" i="1"/>
  <c r="D160" i="1" s="1"/>
  <c r="AO33" i="6" s="1"/>
  <c r="D143" i="1"/>
  <c r="AO16" i="6" s="1"/>
  <c r="G204" i="1"/>
  <c r="G206" i="1" s="1"/>
  <c r="F43" i="5"/>
  <c r="F41" i="5"/>
  <c r="S39" i="1"/>
  <c r="R36" i="1"/>
  <c r="O36" i="1"/>
  <c r="U36" i="1"/>
  <c r="D163" i="1"/>
  <c r="AO36" i="6" s="1"/>
  <c r="D39" i="1"/>
  <c r="AD39" i="1" s="1"/>
  <c r="U61" i="1" s="1"/>
  <c r="U47" i="6" s="1"/>
  <c r="AH18" i="1"/>
  <c r="AI18" i="1"/>
  <c r="C61" i="1"/>
  <c r="C47" i="6" s="1"/>
  <c r="C87" i="1"/>
  <c r="B36" i="1"/>
  <c r="D15" i="1"/>
  <c r="O75" i="1"/>
  <c r="S35" i="6"/>
  <c r="C157" i="1"/>
  <c r="AN30" i="6" s="1"/>
  <c r="B92" i="1"/>
  <c r="C92" i="1" s="1"/>
  <c r="D37" i="1"/>
  <c r="X37" i="1" s="1"/>
  <c r="O59" i="1" s="1"/>
  <c r="O45" i="6" s="1"/>
  <c r="AH16" i="1"/>
  <c r="AI16" i="1"/>
  <c r="D165" i="1"/>
  <c r="AO38" i="6" s="1"/>
  <c r="F141" i="1"/>
  <c r="AQ14" i="6" s="1"/>
  <c r="F92" i="1"/>
  <c r="F76" i="1"/>
  <c r="D158" i="1"/>
  <c r="AO31" i="6" s="1"/>
  <c r="AA37" i="1"/>
  <c r="R59" i="1" s="1"/>
  <c r="R45" i="6" s="1"/>
  <c r="AD37" i="1"/>
  <c r="U59" i="1" s="1"/>
  <c r="U45" i="6" s="1"/>
  <c r="X39" i="1"/>
  <c r="O61" i="1" s="1"/>
  <c r="O47" i="6" s="1"/>
  <c r="AA39" i="1"/>
  <c r="R61" i="1" s="1"/>
  <c r="R47" i="6" s="1"/>
  <c r="B151" i="1"/>
  <c r="AM24" i="6" s="1"/>
  <c r="P35" i="1"/>
  <c r="M35" i="1"/>
  <c r="S35" i="1"/>
  <c r="O29" i="1"/>
  <c r="X29" i="1" s="1"/>
  <c r="O51" i="1" s="1"/>
  <c r="O37" i="6" s="1"/>
  <c r="AJ8" i="1"/>
  <c r="U29" i="1"/>
  <c r="AD29" i="1" s="1"/>
  <c r="U51" i="1" s="1"/>
  <c r="U37" i="6" s="1"/>
  <c r="R29" i="1"/>
  <c r="AA29" i="1" s="1"/>
  <c r="R51" i="1" s="1"/>
  <c r="R37" i="6" s="1"/>
  <c r="D19" i="1"/>
  <c r="B40" i="1"/>
  <c r="D35" i="1"/>
  <c r="AH14" i="1"/>
  <c r="AJ14" i="1"/>
  <c r="AI14" i="1"/>
  <c r="C83" i="1"/>
  <c r="C57" i="1"/>
  <c r="C43" i="6" s="1"/>
  <c r="D79" i="1"/>
  <c r="D53" i="1"/>
  <c r="D39" i="6" s="1"/>
  <c r="Z31" i="1"/>
  <c r="Q53" i="1" s="1"/>
  <c r="Q39" i="6" s="1"/>
  <c r="Y31" i="1"/>
  <c r="P53" i="1" s="1"/>
  <c r="P39" i="6" s="1"/>
  <c r="AC31" i="1"/>
  <c r="T53" i="1" s="1"/>
  <c r="T39" i="6" s="1"/>
  <c r="V31" i="1"/>
  <c r="M53" i="1" s="1"/>
  <c r="M39" i="6" s="1"/>
  <c r="W31" i="1"/>
  <c r="N53" i="1" s="1"/>
  <c r="N39" i="6" s="1"/>
  <c r="L75" i="1"/>
  <c r="P35" i="6"/>
  <c r="C59" i="1"/>
  <c r="C45" i="6" s="1"/>
  <c r="C85" i="1"/>
  <c r="B38" i="1"/>
  <c r="D17" i="1"/>
  <c r="D81" i="1"/>
  <c r="D55" i="1"/>
  <c r="D41" i="6" s="1"/>
  <c r="AD33" i="1"/>
  <c r="U55" i="1" s="1"/>
  <c r="U41" i="6" s="1"/>
  <c r="AC33" i="1"/>
  <c r="T55" i="1" s="1"/>
  <c r="T41" i="6" s="1"/>
  <c r="X33" i="1"/>
  <c r="O55" i="1" s="1"/>
  <c r="O41" i="6" s="1"/>
  <c r="Z33" i="1"/>
  <c r="Q55" i="1" s="1"/>
  <c r="Q41" i="6" s="1"/>
  <c r="AA33" i="1"/>
  <c r="R55" i="1" s="1"/>
  <c r="R41" i="6" s="1"/>
  <c r="W33" i="1"/>
  <c r="N55" i="1" s="1"/>
  <c r="N41" i="6" s="1"/>
  <c r="B153" i="1"/>
  <c r="AM26" i="6" s="1"/>
  <c r="B149" i="1"/>
  <c r="AM22" i="6" s="1"/>
  <c r="B145" i="1"/>
  <c r="AM18" i="6" s="1"/>
  <c r="P141" i="1"/>
  <c r="BA14" i="6" s="1"/>
  <c r="P76" i="1"/>
  <c r="AB39" i="1"/>
  <c r="S61" i="1" s="1"/>
  <c r="S47" i="6" s="1"/>
  <c r="Y39" i="1"/>
  <c r="P61" i="1" s="1"/>
  <c r="P47" i="6" s="1"/>
  <c r="AH14" i="6"/>
  <c r="AJ13" i="6"/>
  <c r="AH13" i="6"/>
  <c r="M51" i="1"/>
  <c r="M37" i="6" s="1"/>
  <c r="U54" i="1"/>
  <c r="U40" i="6" s="1"/>
  <c r="T50" i="1"/>
  <c r="N50" i="1"/>
  <c r="S51" i="1"/>
  <c r="S37" i="6" s="1"/>
  <c r="P51" i="1"/>
  <c r="P37" i="6" s="1"/>
  <c r="O54" i="1"/>
  <c r="O40" i="6" s="1"/>
  <c r="R54" i="1"/>
  <c r="R40" i="6" s="1"/>
  <c r="Q50" i="1"/>
  <c r="F31" i="5"/>
  <c r="F32" i="5" s="1"/>
  <c r="F33" i="5" s="1"/>
  <c r="D17" i="20" l="1"/>
  <c r="AJ21" i="6"/>
  <c r="AH21" i="6"/>
  <c r="AI21" i="6"/>
  <c r="M35" i="6"/>
  <c r="F204" i="1"/>
  <c r="F206" i="1" s="1"/>
  <c r="D15" i="20"/>
  <c r="AJ19" i="6"/>
  <c r="AI19" i="6"/>
  <c r="AH19" i="6"/>
  <c r="D23" i="24"/>
  <c r="D24" i="6"/>
  <c r="M75" i="1"/>
  <c r="U35" i="6"/>
  <c r="G75" i="1"/>
  <c r="O35" i="6"/>
  <c r="D95" i="1"/>
  <c r="D161" i="1" s="1"/>
  <c r="AO34" i="6" s="1"/>
  <c r="D144" i="1"/>
  <c r="AO17" i="6" s="1"/>
  <c r="D21" i="24"/>
  <c r="D22" i="6"/>
  <c r="D19" i="24"/>
  <c r="D20" i="6"/>
  <c r="D19" i="20"/>
  <c r="AJ23" i="6"/>
  <c r="AH23" i="6"/>
  <c r="AI23" i="6"/>
  <c r="J75" i="1"/>
  <c r="R35" i="6"/>
  <c r="F49" i="5"/>
  <c r="F50" i="5" s="1"/>
  <c r="F51" i="5" s="1"/>
  <c r="P142" i="1"/>
  <c r="BA15" i="6" s="1"/>
  <c r="P77" i="1"/>
  <c r="D98" i="1"/>
  <c r="D147" i="1"/>
  <c r="AO20" i="6" s="1"/>
  <c r="B86" i="1"/>
  <c r="B60" i="1"/>
  <c r="B46" i="6" s="1"/>
  <c r="I141" i="1"/>
  <c r="AT14" i="6" s="1"/>
  <c r="I76" i="1"/>
  <c r="L141" i="1"/>
  <c r="AW14" i="6" s="1"/>
  <c r="L76" i="1"/>
  <c r="B88" i="1"/>
  <c r="B62" i="1"/>
  <c r="B48" i="6" s="1"/>
  <c r="AB35" i="1"/>
  <c r="Y35" i="1"/>
  <c r="F142" i="1"/>
  <c r="AQ15" i="6" s="1"/>
  <c r="F77" i="1"/>
  <c r="F93" i="1"/>
  <c r="B158" i="1"/>
  <c r="AM31" i="6" s="1"/>
  <c r="O141" i="1"/>
  <c r="AZ14" i="6" s="1"/>
  <c r="O76" i="1"/>
  <c r="B58" i="1"/>
  <c r="B44" i="6" s="1"/>
  <c r="B84" i="1"/>
  <c r="K76" i="1"/>
  <c r="Q36" i="6"/>
  <c r="H76" i="1"/>
  <c r="N36" i="6"/>
  <c r="N76" i="1"/>
  <c r="T36" i="6"/>
  <c r="D38" i="1"/>
  <c r="AJ17" i="1"/>
  <c r="AH17" i="1"/>
  <c r="AI17" i="1"/>
  <c r="C151" i="1"/>
  <c r="AN24" i="6" s="1"/>
  <c r="D96" i="1"/>
  <c r="D145" i="1"/>
  <c r="AO18" i="6" s="1"/>
  <c r="C149" i="1"/>
  <c r="AN22" i="6" s="1"/>
  <c r="D83" i="1"/>
  <c r="D57" i="1"/>
  <c r="D43" i="6" s="1"/>
  <c r="Z35" i="1"/>
  <c r="X35" i="1"/>
  <c r="W35" i="1"/>
  <c r="AD35" i="1"/>
  <c r="AC35" i="1"/>
  <c r="AA35" i="1"/>
  <c r="D40" i="1"/>
  <c r="AH19" i="1"/>
  <c r="AI19" i="1"/>
  <c r="AJ19" i="1"/>
  <c r="V35" i="1"/>
  <c r="C158" i="1"/>
  <c r="AN31" i="6" s="1"/>
  <c r="B93" i="1"/>
  <c r="F158" i="1"/>
  <c r="AQ31" i="6" s="1"/>
  <c r="D85" i="1"/>
  <c r="D59" i="1"/>
  <c r="D45" i="6" s="1"/>
  <c r="AC37" i="1"/>
  <c r="T59" i="1" s="1"/>
  <c r="T45" i="6" s="1"/>
  <c r="Y37" i="1"/>
  <c r="P59" i="1" s="1"/>
  <c r="P45" i="6" s="1"/>
  <c r="AB37" i="1"/>
  <c r="S59" i="1" s="1"/>
  <c r="S45" i="6" s="1"/>
  <c r="V37" i="1"/>
  <c r="M59" i="1" s="1"/>
  <c r="M45" i="6" s="1"/>
  <c r="W37" i="1"/>
  <c r="N59" i="1" s="1"/>
  <c r="N45" i="6" s="1"/>
  <c r="Z37" i="1"/>
  <c r="Q59" i="1" s="1"/>
  <c r="Q45" i="6" s="1"/>
  <c r="D36" i="1"/>
  <c r="AH15" i="1"/>
  <c r="AE20" i="1" s="1"/>
  <c r="AJ15" i="1"/>
  <c r="AI15" i="1"/>
  <c r="AF20" i="1" s="1"/>
  <c r="D20" i="1"/>
  <c r="C153" i="1"/>
  <c r="AN26" i="6" s="1"/>
  <c r="D87" i="1"/>
  <c r="D61" i="1"/>
  <c r="D47" i="6" s="1"/>
  <c r="Z39" i="1"/>
  <c r="Q61" i="1" s="1"/>
  <c r="Q47" i="6" s="1"/>
  <c r="W39" i="1"/>
  <c r="N61" i="1" s="1"/>
  <c r="N47" i="6" s="1"/>
  <c r="AC39" i="1"/>
  <c r="T61" i="1" s="1"/>
  <c r="T47" i="6" s="1"/>
  <c r="AD36" i="1"/>
  <c r="U58" i="1" s="1"/>
  <c r="U44" i="6" s="1"/>
  <c r="AA36" i="1"/>
  <c r="R58" i="1" s="1"/>
  <c r="R44" i="6" s="1"/>
  <c r="D18" i="20" l="1"/>
  <c r="AH22" i="6"/>
  <c r="AI22" i="6"/>
  <c r="AJ22" i="6"/>
  <c r="J141" i="1"/>
  <c r="AU14" i="6" s="1"/>
  <c r="J76" i="1"/>
  <c r="G76" i="1"/>
  <c r="G141" i="1"/>
  <c r="AR14" i="6" s="1"/>
  <c r="D20" i="20"/>
  <c r="AH24" i="6"/>
  <c r="AJ24" i="6"/>
  <c r="AI24" i="6"/>
  <c r="D41" i="1"/>
  <c r="D24" i="24"/>
  <c r="D16" i="20"/>
  <c r="D21" i="20" s="1"/>
  <c r="AJ20" i="6"/>
  <c r="AG25" i="6" s="1"/>
  <c r="AH20" i="6"/>
  <c r="AE25" i="6" s="1"/>
  <c r="AE26" i="6" s="1"/>
  <c r="AI20" i="6"/>
  <c r="AF25" i="6" s="1"/>
  <c r="AF26" i="6" s="1"/>
  <c r="D25" i="6"/>
  <c r="M141" i="1"/>
  <c r="AX14" i="6" s="1"/>
  <c r="M76" i="1"/>
  <c r="AG20" i="1"/>
  <c r="AG21" i="1" s="1"/>
  <c r="AF21" i="1"/>
  <c r="AE21" i="1"/>
  <c r="D49" i="6"/>
  <c r="D63" i="1"/>
  <c r="D58" i="1"/>
  <c r="D44" i="6" s="1"/>
  <c r="D84" i="1"/>
  <c r="Z36" i="1"/>
  <c r="Q58" i="1" s="1"/>
  <c r="Q44" i="6" s="1"/>
  <c r="V36" i="1"/>
  <c r="M58" i="1" s="1"/>
  <c r="M44" i="6" s="1"/>
  <c r="W36" i="1"/>
  <c r="N58" i="1" s="1"/>
  <c r="N44" i="6" s="1"/>
  <c r="AB36" i="1"/>
  <c r="S58" i="1" s="1"/>
  <c r="S44" i="6" s="1"/>
  <c r="Y36" i="1"/>
  <c r="P58" i="1" s="1"/>
  <c r="P44" i="6" s="1"/>
  <c r="AC36" i="1"/>
  <c r="T58" i="1" s="1"/>
  <c r="T44" i="6" s="1"/>
  <c r="D102" i="1"/>
  <c r="D151" i="1"/>
  <c r="AO24" i="6" s="1"/>
  <c r="M57" i="1"/>
  <c r="M43" i="6" s="1"/>
  <c r="D88" i="1"/>
  <c r="D62" i="1"/>
  <c r="D48" i="6" s="1"/>
  <c r="AD40" i="1"/>
  <c r="U62" i="1" s="1"/>
  <c r="U48" i="6" s="1"/>
  <c r="AB40" i="1"/>
  <c r="S62" i="1" s="1"/>
  <c r="S48" i="6" s="1"/>
  <c r="V40" i="1"/>
  <c r="M62" i="1" s="1"/>
  <c r="M48" i="6" s="1"/>
  <c r="AC40" i="1"/>
  <c r="T62" i="1" s="1"/>
  <c r="T48" i="6" s="1"/>
  <c r="AA40" i="1"/>
  <c r="R62" i="1" s="1"/>
  <c r="R48" i="6" s="1"/>
  <c r="Z40" i="1"/>
  <c r="Q62" i="1" s="1"/>
  <c r="Q48" i="6" s="1"/>
  <c r="Y40" i="1"/>
  <c r="P62" i="1" s="1"/>
  <c r="P48" i="6" s="1"/>
  <c r="X40" i="1"/>
  <c r="O62" i="1" s="1"/>
  <c r="O48" i="6" s="1"/>
  <c r="W40" i="1"/>
  <c r="N62" i="1" s="1"/>
  <c r="N48" i="6" s="1"/>
  <c r="T57" i="1"/>
  <c r="T43" i="6" s="1"/>
  <c r="N57" i="1"/>
  <c r="N43" i="6" s="1"/>
  <c r="Q57" i="1"/>
  <c r="Q43" i="6" s="1"/>
  <c r="D100" i="1"/>
  <c r="D149" i="1"/>
  <c r="AO22" i="6" s="1"/>
  <c r="D162" i="1"/>
  <c r="AO35" i="6" s="1"/>
  <c r="X36" i="1"/>
  <c r="O58" i="1" s="1"/>
  <c r="O44" i="6" s="1"/>
  <c r="F159" i="1"/>
  <c r="AQ32" i="6" s="1"/>
  <c r="P57" i="1"/>
  <c r="P43" i="6" s="1"/>
  <c r="L142" i="1"/>
  <c r="AW15" i="6" s="1"/>
  <c r="L77" i="1"/>
  <c r="D104" i="1"/>
  <c r="D153" i="1"/>
  <c r="AO26" i="6" s="1"/>
  <c r="B159" i="1"/>
  <c r="AM32" i="6" s="1"/>
  <c r="C93" i="1"/>
  <c r="R57" i="1"/>
  <c r="R43" i="6" s="1"/>
  <c r="U57" i="1"/>
  <c r="U43" i="6" s="1"/>
  <c r="O57" i="1"/>
  <c r="O43" i="6" s="1"/>
  <c r="D86" i="1"/>
  <c r="D60" i="1"/>
  <c r="D46" i="6" s="1"/>
  <c r="AD38" i="1"/>
  <c r="U60" i="1" s="1"/>
  <c r="U46" i="6" s="1"/>
  <c r="X38" i="1"/>
  <c r="O60" i="1" s="1"/>
  <c r="O46" i="6" s="1"/>
  <c r="AA38" i="1"/>
  <c r="R60" i="1" s="1"/>
  <c r="R46" i="6" s="1"/>
  <c r="Z38" i="1"/>
  <c r="Q60" i="1" s="1"/>
  <c r="Q46" i="6" s="1"/>
  <c r="Y38" i="1"/>
  <c r="P60" i="1" s="1"/>
  <c r="P46" i="6" s="1"/>
  <c r="AC38" i="1"/>
  <c r="T60" i="1" s="1"/>
  <c r="T46" i="6" s="1"/>
  <c r="V38" i="1"/>
  <c r="M60" i="1" s="1"/>
  <c r="M46" i="6" s="1"/>
  <c r="AB38" i="1"/>
  <c r="S60" i="1" s="1"/>
  <c r="S46" i="6" s="1"/>
  <c r="W38" i="1"/>
  <c r="N60" i="1" s="1"/>
  <c r="N46" i="6" s="1"/>
  <c r="N77" i="1"/>
  <c r="N142" i="1"/>
  <c r="H142" i="1"/>
  <c r="H77" i="1"/>
  <c r="K77" i="1"/>
  <c r="K142" i="1"/>
  <c r="B150" i="1"/>
  <c r="AM23" i="6" s="1"/>
  <c r="O142" i="1"/>
  <c r="AZ15" i="6" s="1"/>
  <c r="O77" i="1"/>
  <c r="F143" i="1"/>
  <c r="AQ16" i="6" s="1"/>
  <c r="F94" i="1"/>
  <c r="F78" i="1"/>
  <c r="S57" i="1"/>
  <c r="S43" i="6" s="1"/>
  <c r="B154" i="1"/>
  <c r="AM27" i="6" s="1"/>
  <c r="I77" i="1"/>
  <c r="I142" i="1"/>
  <c r="AT15" i="6" s="1"/>
  <c r="B152" i="1"/>
  <c r="AM25" i="6" s="1"/>
  <c r="D164" i="1"/>
  <c r="AO37" i="6" s="1"/>
  <c r="P143" i="1"/>
  <c r="BA16" i="6" s="1"/>
  <c r="P78" i="1"/>
  <c r="D89" i="1" l="1"/>
  <c r="J77" i="1"/>
  <c r="J142" i="1"/>
  <c r="AU15" i="6" s="1"/>
  <c r="M142" i="1"/>
  <c r="AX15" i="6" s="1"/>
  <c r="M77" i="1"/>
  <c r="AG26" i="6"/>
  <c r="G77" i="1"/>
  <c r="G142" i="1"/>
  <c r="AR15" i="6" s="1"/>
  <c r="V142" i="1"/>
  <c r="AV15" i="6"/>
  <c r="W142" i="1"/>
  <c r="AY15" i="6"/>
  <c r="U142" i="1"/>
  <c r="AS15" i="6"/>
  <c r="AB41" i="1"/>
  <c r="AB42" i="1" s="1"/>
  <c r="P144" i="1"/>
  <c r="BA17" i="6" s="1"/>
  <c r="P79" i="1"/>
  <c r="F160" i="1"/>
  <c r="AQ33" i="6" s="1"/>
  <c r="X41" i="1"/>
  <c r="X42" i="1" s="1"/>
  <c r="AD41" i="1"/>
  <c r="AD42" i="1" s="1"/>
  <c r="AA41" i="1"/>
  <c r="AA42" i="1" s="1"/>
  <c r="C159" i="1"/>
  <c r="AN32" i="6" s="1"/>
  <c r="B94" i="1"/>
  <c r="D170" i="1"/>
  <c r="AO43" i="6" s="1"/>
  <c r="L143" i="1"/>
  <c r="AW16" i="6" s="1"/>
  <c r="L78" i="1"/>
  <c r="D166" i="1"/>
  <c r="AO39" i="6" s="1"/>
  <c r="Z41" i="1"/>
  <c r="Z42" i="1" s="1"/>
  <c r="C54" i="24" s="1"/>
  <c r="W41" i="1"/>
  <c r="W42" i="1" s="1"/>
  <c r="C53" i="24" s="1"/>
  <c r="AC41" i="1"/>
  <c r="AC42" i="1" s="1"/>
  <c r="C55" i="24" s="1"/>
  <c r="D154" i="1"/>
  <c r="AO27" i="6" s="1"/>
  <c r="D105" i="1"/>
  <c r="I143" i="1"/>
  <c r="AT16" i="6" s="1"/>
  <c r="I78" i="1"/>
  <c r="S49" i="6"/>
  <c r="S63" i="1"/>
  <c r="F144" i="1"/>
  <c r="AQ17" i="6" s="1"/>
  <c r="F95" i="1"/>
  <c r="F79" i="1"/>
  <c r="O143" i="1"/>
  <c r="AZ16" i="6" s="1"/>
  <c r="O78" i="1"/>
  <c r="K143" i="1"/>
  <c r="K78" i="1"/>
  <c r="H143" i="1"/>
  <c r="H78" i="1"/>
  <c r="N143" i="1"/>
  <c r="N78" i="1"/>
  <c r="D152" i="1"/>
  <c r="AO25" i="6" s="1"/>
  <c r="D103" i="1"/>
  <c r="Y41" i="1"/>
  <c r="Y42" i="1" s="1"/>
  <c r="V41" i="1"/>
  <c r="V42" i="1" s="1"/>
  <c r="D168" i="1"/>
  <c r="AO41" i="6" s="1"/>
  <c r="D150" i="1"/>
  <c r="AO23" i="6" s="1"/>
  <c r="D101" i="1"/>
  <c r="G54" i="24" l="1"/>
  <c r="G143" i="1"/>
  <c r="AR16" i="6" s="1"/>
  <c r="G78" i="1"/>
  <c r="G55" i="24"/>
  <c r="J143" i="1"/>
  <c r="AU16" i="6" s="1"/>
  <c r="J78" i="1"/>
  <c r="G53" i="24"/>
  <c r="M143" i="1"/>
  <c r="AX16" i="6" s="1"/>
  <c r="M78" i="1"/>
  <c r="W143" i="1"/>
  <c r="AY16" i="6"/>
  <c r="U143" i="1"/>
  <c r="AS16" i="6"/>
  <c r="V143" i="1"/>
  <c r="AV16" i="6"/>
  <c r="D167" i="1"/>
  <c r="AO40" i="6" s="1"/>
  <c r="M49" i="6"/>
  <c r="M63" i="1"/>
  <c r="D169" i="1"/>
  <c r="AO42" i="6" s="1"/>
  <c r="H144" i="1"/>
  <c r="H79" i="1"/>
  <c r="O79" i="1"/>
  <c r="O144" i="1"/>
  <c r="AZ17" i="6" s="1"/>
  <c r="F161" i="1"/>
  <c r="AQ34" i="6" s="1"/>
  <c r="D171" i="1"/>
  <c r="AO44" i="6" s="1"/>
  <c r="N49" i="6"/>
  <c r="N63" i="1"/>
  <c r="R49" i="6"/>
  <c r="R63" i="1"/>
  <c r="O49" i="6"/>
  <c r="O63" i="1"/>
  <c r="P49" i="6"/>
  <c r="P63" i="1"/>
  <c r="N144" i="1"/>
  <c r="N79" i="1"/>
  <c r="K144" i="1"/>
  <c r="K79" i="1"/>
  <c r="F96" i="1"/>
  <c r="F145" i="1"/>
  <c r="AQ18" i="6" s="1"/>
  <c r="F80" i="1"/>
  <c r="I79" i="1"/>
  <c r="I144" i="1"/>
  <c r="AT17" i="6" s="1"/>
  <c r="T49" i="6"/>
  <c r="T63" i="1"/>
  <c r="Q49" i="6"/>
  <c r="Q63" i="1"/>
  <c r="L79" i="1"/>
  <c r="L144" i="1"/>
  <c r="AW17" i="6" s="1"/>
  <c r="B160" i="1"/>
  <c r="AM33" i="6" s="1"/>
  <c r="C94" i="1"/>
  <c r="U63" i="1"/>
  <c r="U49" i="6"/>
  <c r="P145" i="1"/>
  <c r="BA18" i="6" s="1"/>
  <c r="P80" i="1"/>
  <c r="G144" i="1" l="1"/>
  <c r="AR17" i="6" s="1"/>
  <c r="G79" i="1"/>
  <c r="J144" i="1"/>
  <c r="AU17" i="6" s="1"/>
  <c r="J79" i="1"/>
  <c r="M144" i="1"/>
  <c r="AX17" i="6" s="1"/>
  <c r="M79" i="1"/>
  <c r="V144" i="1"/>
  <c r="AV17" i="6"/>
  <c r="W144" i="1"/>
  <c r="AY17" i="6"/>
  <c r="U144" i="1"/>
  <c r="AS17" i="6"/>
  <c r="C160" i="1"/>
  <c r="AN33" i="6" s="1"/>
  <c r="B95" i="1"/>
  <c r="L145" i="1"/>
  <c r="AW18" i="6" s="1"/>
  <c r="L80" i="1"/>
  <c r="N145" i="1"/>
  <c r="N80" i="1"/>
  <c r="P146" i="1"/>
  <c r="BA19" i="6" s="1"/>
  <c r="P81" i="1"/>
  <c r="I145" i="1"/>
  <c r="AT18" i="6" s="1"/>
  <c r="I80" i="1"/>
  <c r="F146" i="1"/>
  <c r="AQ19" i="6" s="1"/>
  <c r="F97" i="1"/>
  <c r="F81" i="1"/>
  <c r="F162" i="1"/>
  <c r="AQ35" i="6" s="1"/>
  <c r="K145" i="1"/>
  <c r="K80" i="1"/>
  <c r="O145" i="1"/>
  <c r="AZ18" i="6" s="1"/>
  <c r="O80" i="1"/>
  <c r="H145" i="1"/>
  <c r="H80" i="1"/>
  <c r="J80" i="1" l="1"/>
  <c r="J145" i="1"/>
  <c r="AU18" i="6" s="1"/>
  <c r="M145" i="1"/>
  <c r="AX18" i="6" s="1"/>
  <c r="M80" i="1"/>
  <c r="G80" i="1"/>
  <c r="G145" i="1"/>
  <c r="AR18" i="6" s="1"/>
  <c r="U145" i="1"/>
  <c r="AS18" i="6"/>
  <c r="V145" i="1"/>
  <c r="AV18" i="6"/>
  <c r="W145" i="1"/>
  <c r="AY18" i="6"/>
  <c r="H81" i="1"/>
  <c r="H146" i="1"/>
  <c r="K146" i="1"/>
  <c r="K81" i="1"/>
  <c r="F163" i="1"/>
  <c r="AQ36" i="6" s="1"/>
  <c r="P147" i="1"/>
  <c r="BA20" i="6" s="1"/>
  <c r="P82" i="1"/>
  <c r="L81" i="1"/>
  <c r="L146" i="1"/>
  <c r="AW19" i="6" s="1"/>
  <c r="O81" i="1"/>
  <c r="O146" i="1"/>
  <c r="AZ19" i="6" s="1"/>
  <c r="F98" i="1"/>
  <c r="F147" i="1"/>
  <c r="AQ20" i="6" s="1"/>
  <c r="F82" i="1"/>
  <c r="I81" i="1"/>
  <c r="I146" i="1"/>
  <c r="AT19" i="6" s="1"/>
  <c r="N146" i="1"/>
  <c r="N81" i="1"/>
  <c r="B161" i="1"/>
  <c r="AM34" i="6" s="1"/>
  <c r="C95" i="1"/>
  <c r="M81" i="1" l="1"/>
  <c r="M146" i="1"/>
  <c r="AX19" i="6" s="1"/>
  <c r="G81" i="1"/>
  <c r="G146" i="1"/>
  <c r="AR19" i="6" s="1"/>
  <c r="J146" i="1"/>
  <c r="AU19" i="6" s="1"/>
  <c r="J81" i="1"/>
  <c r="U146" i="1"/>
  <c r="AS19" i="6"/>
  <c r="W146" i="1"/>
  <c r="AY19" i="6"/>
  <c r="V146" i="1"/>
  <c r="AV19" i="6"/>
  <c r="B96" i="1"/>
  <c r="C161" i="1"/>
  <c r="AN34" i="6" s="1"/>
  <c r="O147" i="1"/>
  <c r="AZ20" i="6" s="1"/>
  <c r="O82" i="1"/>
  <c r="K147" i="1"/>
  <c r="K82" i="1"/>
  <c r="H147" i="1"/>
  <c r="H82" i="1"/>
  <c r="N147" i="1"/>
  <c r="N82" i="1"/>
  <c r="I147" i="1"/>
  <c r="AT20" i="6" s="1"/>
  <c r="I82" i="1"/>
  <c r="F148" i="1"/>
  <c r="AQ21" i="6" s="1"/>
  <c r="F99" i="1"/>
  <c r="F83" i="1"/>
  <c r="F164" i="1"/>
  <c r="AQ37" i="6" s="1"/>
  <c r="L147" i="1"/>
  <c r="AW20" i="6" s="1"/>
  <c r="L82" i="1"/>
  <c r="P148" i="1"/>
  <c r="BA21" i="6" s="1"/>
  <c r="P83" i="1"/>
  <c r="G147" i="1" l="1"/>
  <c r="AR20" i="6" s="1"/>
  <c r="G82" i="1"/>
  <c r="J82" i="1"/>
  <c r="J147" i="1"/>
  <c r="AU20" i="6" s="1"/>
  <c r="M147" i="1"/>
  <c r="AX20" i="6" s="1"/>
  <c r="M82" i="1"/>
  <c r="W147" i="1"/>
  <c r="AY20" i="6"/>
  <c r="U147" i="1"/>
  <c r="AS20" i="6"/>
  <c r="V147" i="1"/>
  <c r="AV20" i="6"/>
  <c r="P149" i="1"/>
  <c r="BA22" i="6" s="1"/>
  <c r="P84" i="1"/>
  <c r="F100" i="1"/>
  <c r="F149" i="1"/>
  <c r="AQ22" i="6" s="1"/>
  <c r="F84" i="1"/>
  <c r="I148" i="1"/>
  <c r="AT21" i="6" s="1"/>
  <c r="I83" i="1"/>
  <c r="H148" i="1"/>
  <c r="H83" i="1"/>
  <c r="O148" i="1"/>
  <c r="AZ21" i="6" s="1"/>
  <c r="O83" i="1"/>
  <c r="B162" i="1"/>
  <c r="AM35" i="6" s="1"/>
  <c r="C96" i="1"/>
  <c r="L148" i="1"/>
  <c r="AW21" i="6" s="1"/>
  <c r="L83" i="1"/>
  <c r="F165" i="1"/>
  <c r="AQ38" i="6" s="1"/>
  <c r="N148" i="1"/>
  <c r="N83" i="1"/>
  <c r="K148" i="1"/>
  <c r="K83" i="1"/>
  <c r="J148" i="1" l="1"/>
  <c r="AU21" i="6" s="1"/>
  <c r="J83" i="1"/>
  <c r="M148" i="1"/>
  <c r="AX21" i="6" s="1"/>
  <c r="M83" i="1"/>
  <c r="G148" i="1"/>
  <c r="AR21" i="6" s="1"/>
  <c r="G83" i="1"/>
  <c r="U148" i="1"/>
  <c r="AS21" i="6"/>
  <c r="V148" i="1"/>
  <c r="AV21" i="6"/>
  <c r="W148" i="1"/>
  <c r="AY21" i="6"/>
  <c r="K149" i="1"/>
  <c r="K84" i="1"/>
  <c r="L149" i="1"/>
  <c r="AW22" i="6" s="1"/>
  <c r="L84" i="1"/>
  <c r="O149" i="1"/>
  <c r="AZ22" i="6" s="1"/>
  <c r="O84" i="1"/>
  <c r="I149" i="1"/>
  <c r="AT22" i="6" s="1"/>
  <c r="I84" i="1"/>
  <c r="N149" i="1"/>
  <c r="N84" i="1"/>
  <c r="C162" i="1"/>
  <c r="AN35" i="6" s="1"/>
  <c r="B97" i="1"/>
  <c r="H149" i="1"/>
  <c r="H84" i="1"/>
  <c r="F150" i="1"/>
  <c r="AQ23" i="6" s="1"/>
  <c r="F101" i="1"/>
  <c r="F85" i="1"/>
  <c r="F166" i="1"/>
  <c r="AQ39" i="6" s="1"/>
  <c r="P150" i="1"/>
  <c r="BA23" i="6" s="1"/>
  <c r="P85" i="1"/>
  <c r="M149" i="1" l="1"/>
  <c r="AX22" i="6" s="1"/>
  <c r="M84" i="1"/>
  <c r="G149" i="1"/>
  <c r="AR22" i="6" s="1"/>
  <c r="G84" i="1"/>
  <c r="J149" i="1"/>
  <c r="AU22" i="6" s="1"/>
  <c r="J84" i="1"/>
  <c r="U149" i="1"/>
  <c r="AS22" i="6"/>
  <c r="W149" i="1"/>
  <c r="AY22" i="6"/>
  <c r="V149" i="1"/>
  <c r="AV22" i="6"/>
  <c r="P151" i="1"/>
  <c r="BA24" i="6" s="1"/>
  <c r="P86" i="1"/>
  <c r="F167" i="1"/>
  <c r="AQ40" i="6" s="1"/>
  <c r="B163" i="1"/>
  <c r="AM36" i="6" s="1"/>
  <c r="C97" i="1"/>
  <c r="I150" i="1"/>
  <c r="AT23" i="6" s="1"/>
  <c r="I85" i="1"/>
  <c r="L150" i="1"/>
  <c r="AW23" i="6" s="1"/>
  <c r="L85" i="1"/>
  <c r="F102" i="1"/>
  <c r="F151" i="1"/>
  <c r="AQ24" i="6" s="1"/>
  <c r="F86" i="1"/>
  <c r="H150" i="1"/>
  <c r="H85" i="1"/>
  <c r="N150" i="1"/>
  <c r="N85" i="1"/>
  <c r="O150" i="1"/>
  <c r="AZ23" i="6" s="1"/>
  <c r="O85" i="1"/>
  <c r="K150" i="1"/>
  <c r="K85" i="1"/>
  <c r="G150" i="1" l="1"/>
  <c r="AR23" i="6" s="1"/>
  <c r="G85" i="1"/>
  <c r="J85" i="1"/>
  <c r="J150" i="1"/>
  <c r="AU23" i="6" s="1"/>
  <c r="M150" i="1"/>
  <c r="AX23" i="6" s="1"/>
  <c r="M85" i="1"/>
  <c r="V150" i="1"/>
  <c r="AV23" i="6"/>
  <c r="W150" i="1"/>
  <c r="AY23" i="6"/>
  <c r="U150" i="1"/>
  <c r="AS23" i="6"/>
  <c r="K151" i="1"/>
  <c r="K86" i="1"/>
  <c r="N151" i="1"/>
  <c r="N86" i="1"/>
  <c r="F152" i="1"/>
  <c r="AQ25" i="6" s="1"/>
  <c r="F103" i="1"/>
  <c r="F87" i="1"/>
  <c r="F168" i="1"/>
  <c r="AQ41" i="6" s="1"/>
  <c r="L151" i="1"/>
  <c r="AW24" i="6" s="1"/>
  <c r="L86" i="1"/>
  <c r="B98" i="1"/>
  <c r="C163" i="1"/>
  <c r="AN36" i="6" s="1"/>
  <c r="O151" i="1"/>
  <c r="AZ24" i="6" s="1"/>
  <c r="O86" i="1"/>
  <c r="H151" i="1"/>
  <c r="H86" i="1"/>
  <c r="I151" i="1"/>
  <c r="AT24" i="6" s="1"/>
  <c r="I86" i="1"/>
  <c r="P152" i="1"/>
  <c r="BA25" i="6" s="1"/>
  <c r="P87" i="1"/>
  <c r="J151" i="1" l="1"/>
  <c r="AU24" i="6" s="1"/>
  <c r="J86" i="1"/>
  <c r="M151" i="1"/>
  <c r="AX24" i="6" s="1"/>
  <c r="M86" i="1"/>
  <c r="G151" i="1"/>
  <c r="AR24" i="6" s="1"/>
  <c r="G86" i="1"/>
  <c r="U151" i="1"/>
  <c r="AS24" i="6"/>
  <c r="W151" i="1"/>
  <c r="AY24" i="6"/>
  <c r="V151" i="1"/>
  <c r="AV24" i="6"/>
  <c r="P153" i="1"/>
  <c r="BA26" i="6" s="1"/>
  <c r="P88" i="1"/>
  <c r="H152" i="1"/>
  <c r="H87" i="1"/>
  <c r="F104" i="1"/>
  <c r="F153" i="1"/>
  <c r="AQ26" i="6" s="1"/>
  <c r="F88" i="1"/>
  <c r="N152" i="1"/>
  <c r="N87" i="1"/>
  <c r="I152" i="1"/>
  <c r="AT25" i="6" s="1"/>
  <c r="I87" i="1"/>
  <c r="O152" i="1"/>
  <c r="AZ25" i="6" s="1"/>
  <c r="O87" i="1"/>
  <c r="B164" i="1"/>
  <c r="AM37" i="6" s="1"/>
  <c r="C98" i="1"/>
  <c r="L152" i="1"/>
  <c r="AW25" i="6" s="1"/>
  <c r="L87" i="1"/>
  <c r="F169" i="1"/>
  <c r="AQ42" i="6" s="1"/>
  <c r="K152" i="1"/>
  <c r="K87" i="1"/>
  <c r="M152" i="1" l="1"/>
  <c r="AX25" i="6" s="1"/>
  <c r="M87" i="1"/>
  <c r="G152" i="1"/>
  <c r="AR25" i="6" s="1"/>
  <c r="G87" i="1"/>
  <c r="J152" i="1"/>
  <c r="AU25" i="6" s="1"/>
  <c r="J87" i="1"/>
  <c r="V152" i="1"/>
  <c r="AV25" i="6"/>
  <c r="U152" i="1"/>
  <c r="AS25" i="6"/>
  <c r="W152" i="1"/>
  <c r="AY25" i="6"/>
  <c r="K153" i="1"/>
  <c r="K88" i="1"/>
  <c r="C164" i="1"/>
  <c r="AN37" i="6" s="1"/>
  <c r="B99" i="1"/>
  <c r="I153" i="1"/>
  <c r="AT26" i="6" s="1"/>
  <c r="I88" i="1"/>
  <c r="F154" i="1"/>
  <c r="AQ27" i="6" s="1"/>
  <c r="F105" i="1"/>
  <c r="F170" i="1"/>
  <c r="AQ43" i="6" s="1"/>
  <c r="H153" i="1"/>
  <c r="H88" i="1"/>
  <c r="L153" i="1"/>
  <c r="AW26" i="6" s="1"/>
  <c r="L88" i="1"/>
  <c r="O153" i="1"/>
  <c r="AZ26" i="6" s="1"/>
  <c r="O88" i="1"/>
  <c r="N153" i="1"/>
  <c r="N88" i="1"/>
  <c r="P154" i="1"/>
  <c r="BA27" i="6" s="1"/>
  <c r="P89" i="1"/>
  <c r="G153" i="1" l="1"/>
  <c r="AR26" i="6" s="1"/>
  <c r="G88" i="1"/>
  <c r="J153" i="1"/>
  <c r="AU26" i="6" s="1"/>
  <c r="J88" i="1"/>
  <c r="M88" i="1"/>
  <c r="M153" i="1"/>
  <c r="AX26" i="6" s="1"/>
  <c r="W153" i="1"/>
  <c r="AY26" i="6"/>
  <c r="U153" i="1"/>
  <c r="AS26" i="6"/>
  <c r="V153" i="1"/>
  <c r="AV26" i="6"/>
  <c r="N154" i="1"/>
  <c r="AC82" i="1"/>
  <c r="N89" i="1"/>
  <c r="L89" i="1"/>
  <c r="L154" i="1"/>
  <c r="AW27" i="6" s="1"/>
  <c r="BL21" i="6" s="1"/>
  <c r="AA82" i="1"/>
  <c r="F171" i="1"/>
  <c r="AQ44" i="6" s="1"/>
  <c r="B165" i="1"/>
  <c r="AM38" i="6" s="1"/>
  <c r="C99" i="1"/>
  <c r="P155" i="1"/>
  <c r="BA28" i="6" s="1"/>
  <c r="P90" i="1"/>
  <c r="O154" i="1"/>
  <c r="AZ27" i="6" s="1"/>
  <c r="BO21" i="6" s="1"/>
  <c r="AD82" i="1"/>
  <c r="O89" i="1"/>
  <c r="H154" i="1"/>
  <c r="W82" i="1"/>
  <c r="H89" i="1"/>
  <c r="I154" i="1"/>
  <c r="AT27" i="6" s="1"/>
  <c r="BI21" i="6" s="1"/>
  <c r="X82" i="1"/>
  <c r="I89" i="1"/>
  <c r="K89" i="1"/>
  <c r="K154" i="1"/>
  <c r="Z82" i="1"/>
  <c r="J154" i="1" l="1"/>
  <c r="AU27" i="6" s="1"/>
  <c r="BJ21" i="6" s="1"/>
  <c r="Y82" i="1"/>
  <c r="J89" i="1"/>
  <c r="G154" i="1"/>
  <c r="AR27" i="6" s="1"/>
  <c r="BG21" i="6" s="1"/>
  <c r="G89" i="1"/>
  <c r="V82" i="1"/>
  <c r="AB82" i="1"/>
  <c r="M154" i="1"/>
  <c r="AX27" i="6" s="1"/>
  <c r="BM21" i="6" s="1"/>
  <c r="M89" i="1"/>
  <c r="V154" i="1"/>
  <c r="AV27" i="6"/>
  <c r="BK21" i="6" s="1"/>
  <c r="W154" i="1"/>
  <c r="AY27" i="6"/>
  <c r="BN21" i="6" s="1"/>
  <c r="U154" i="1"/>
  <c r="AS27" i="6"/>
  <c r="BH21" i="6" s="1"/>
  <c r="K90" i="1"/>
  <c r="K155" i="1"/>
  <c r="AV28" i="6" s="1"/>
  <c r="I155" i="1"/>
  <c r="AT28" i="6" s="1"/>
  <c r="I90" i="1"/>
  <c r="H90" i="1"/>
  <c r="H155" i="1"/>
  <c r="AS28" i="6" s="1"/>
  <c r="O90" i="1"/>
  <c r="O155" i="1"/>
  <c r="AZ28" i="6" s="1"/>
  <c r="P156" i="1"/>
  <c r="BA29" i="6" s="1"/>
  <c r="P91" i="1"/>
  <c r="L155" i="1"/>
  <c r="AW28" i="6" s="1"/>
  <c r="L90" i="1"/>
  <c r="N90" i="1"/>
  <c r="N155" i="1"/>
  <c r="AY28" i="6" s="1"/>
  <c r="B100" i="1"/>
  <c r="C165" i="1"/>
  <c r="AN38" i="6" s="1"/>
  <c r="J90" i="1" l="1"/>
  <c r="J155" i="1"/>
  <c r="AU28" i="6" s="1"/>
  <c r="M90" i="1"/>
  <c r="M155" i="1"/>
  <c r="AX28" i="6" s="1"/>
  <c r="G90" i="1"/>
  <c r="G155" i="1"/>
  <c r="AR28" i="6" s="1"/>
  <c r="N91" i="1"/>
  <c r="N156" i="1"/>
  <c r="AY29" i="6" s="1"/>
  <c r="L156" i="1"/>
  <c r="AW29" i="6" s="1"/>
  <c r="L91" i="1"/>
  <c r="H91" i="1"/>
  <c r="H156" i="1"/>
  <c r="AS29" i="6" s="1"/>
  <c r="I156" i="1"/>
  <c r="AT29" i="6" s="1"/>
  <c r="I91" i="1"/>
  <c r="K156" i="1"/>
  <c r="AV29" i="6" s="1"/>
  <c r="K91" i="1"/>
  <c r="B166" i="1"/>
  <c r="AM39" i="6" s="1"/>
  <c r="C100" i="1"/>
  <c r="P157" i="1"/>
  <c r="BA30" i="6" s="1"/>
  <c r="P92" i="1"/>
  <c r="O91" i="1"/>
  <c r="O156" i="1"/>
  <c r="AZ29" i="6" s="1"/>
  <c r="M91" i="1" l="1"/>
  <c r="M156" i="1"/>
  <c r="AX29" i="6" s="1"/>
  <c r="G91" i="1"/>
  <c r="G156" i="1"/>
  <c r="AR29" i="6" s="1"/>
  <c r="J156" i="1"/>
  <c r="AU29" i="6" s="1"/>
  <c r="J91" i="1"/>
  <c r="C166" i="1"/>
  <c r="AN39" i="6" s="1"/>
  <c r="B101" i="1"/>
  <c r="I157" i="1"/>
  <c r="AT30" i="6" s="1"/>
  <c r="I92" i="1"/>
  <c r="H157" i="1"/>
  <c r="AS30" i="6" s="1"/>
  <c r="H92" i="1"/>
  <c r="L157" i="1"/>
  <c r="AW30" i="6" s="1"/>
  <c r="L92" i="1"/>
  <c r="N157" i="1"/>
  <c r="AY30" i="6" s="1"/>
  <c r="N92" i="1"/>
  <c r="O157" i="1"/>
  <c r="AZ30" i="6" s="1"/>
  <c r="O92" i="1"/>
  <c r="P158" i="1"/>
  <c r="BA31" i="6" s="1"/>
  <c r="P93" i="1"/>
  <c r="K157" i="1"/>
  <c r="AV30" i="6" s="1"/>
  <c r="K92" i="1"/>
  <c r="G92" i="1" l="1"/>
  <c r="G157" i="1"/>
  <c r="AR30" i="6" s="1"/>
  <c r="J157" i="1"/>
  <c r="AU30" i="6" s="1"/>
  <c r="J92" i="1"/>
  <c r="M157" i="1"/>
  <c r="AX30" i="6" s="1"/>
  <c r="M92" i="1"/>
  <c r="K158" i="1"/>
  <c r="AV31" i="6" s="1"/>
  <c r="K93" i="1"/>
  <c r="O158" i="1"/>
  <c r="AZ31" i="6" s="1"/>
  <c r="O93" i="1"/>
  <c r="L158" i="1"/>
  <c r="AW31" i="6" s="1"/>
  <c r="L93" i="1"/>
  <c r="I158" i="1"/>
  <c r="AT31" i="6" s="1"/>
  <c r="I93" i="1"/>
  <c r="P159" i="1"/>
  <c r="BA32" i="6" s="1"/>
  <c r="P94" i="1"/>
  <c r="N158" i="1"/>
  <c r="AY31" i="6" s="1"/>
  <c r="N93" i="1"/>
  <c r="H158" i="1"/>
  <c r="AS31" i="6" s="1"/>
  <c r="H93" i="1"/>
  <c r="B167" i="1"/>
  <c r="AM40" i="6" s="1"/>
  <c r="C101" i="1"/>
  <c r="J93" i="1" l="1"/>
  <c r="J158" i="1"/>
  <c r="AU31" i="6" s="1"/>
  <c r="M93" i="1"/>
  <c r="M158" i="1"/>
  <c r="AX31" i="6" s="1"/>
  <c r="G158" i="1"/>
  <c r="AR31" i="6" s="1"/>
  <c r="G93" i="1"/>
  <c r="B102" i="1"/>
  <c r="C167" i="1"/>
  <c r="AN40" i="6" s="1"/>
  <c r="N159" i="1"/>
  <c r="AY32" i="6" s="1"/>
  <c r="N94" i="1"/>
  <c r="I159" i="1"/>
  <c r="AT32" i="6" s="1"/>
  <c r="I94" i="1"/>
  <c r="O159" i="1"/>
  <c r="AZ32" i="6" s="1"/>
  <c r="O94" i="1"/>
  <c r="H159" i="1"/>
  <c r="AS32" i="6" s="1"/>
  <c r="H94" i="1"/>
  <c r="P160" i="1"/>
  <c r="BA33" i="6" s="1"/>
  <c r="P95" i="1"/>
  <c r="L159" i="1"/>
  <c r="AW32" i="6" s="1"/>
  <c r="L94" i="1"/>
  <c r="K159" i="1"/>
  <c r="AV32" i="6" s="1"/>
  <c r="K94" i="1"/>
  <c r="M159" i="1" l="1"/>
  <c r="AX32" i="6" s="1"/>
  <c r="M94" i="1"/>
  <c r="G94" i="1"/>
  <c r="G159" i="1"/>
  <c r="AR32" i="6" s="1"/>
  <c r="J159" i="1"/>
  <c r="AU32" i="6" s="1"/>
  <c r="J94" i="1"/>
  <c r="K160" i="1"/>
  <c r="AV33" i="6" s="1"/>
  <c r="K95" i="1"/>
  <c r="P161" i="1"/>
  <c r="BA34" i="6" s="1"/>
  <c r="P96" i="1"/>
  <c r="O160" i="1"/>
  <c r="AZ33" i="6" s="1"/>
  <c r="O95" i="1"/>
  <c r="N160" i="1"/>
  <c r="AY33" i="6" s="1"/>
  <c r="N95" i="1"/>
  <c r="B168" i="1"/>
  <c r="AM41" i="6" s="1"/>
  <c r="C102" i="1"/>
  <c r="L160" i="1"/>
  <c r="AW33" i="6" s="1"/>
  <c r="L95" i="1"/>
  <c r="H160" i="1"/>
  <c r="AS33" i="6" s="1"/>
  <c r="H95" i="1"/>
  <c r="I160" i="1"/>
  <c r="AT33" i="6" s="1"/>
  <c r="I95" i="1"/>
  <c r="G160" i="1" l="1"/>
  <c r="AR33" i="6" s="1"/>
  <c r="G95" i="1"/>
  <c r="J95" i="1"/>
  <c r="J160" i="1"/>
  <c r="AU33" i="6" s="1"/>
  <c r="M160" i="1"/>
  <c r="AX33" i="6" s="1"/>
  <c r="M95" i="1"/>
  <c r="I161" i="1"/>
  <c r="AT34" i="6" s="1"/>
  <c r="I96" i="1"/>
  <c r="L161" i="1"/>
  <c r="AW34" i="6" s="1"/>
  <c r="L96" i="1"/>
  <c r="N161" i="1"/>
  <c r="AY34" i="6" s="1"/>
  <c r="N96" i="1"/>
  <c r="P162" i="1"/>
  <c r="BA35" i="6" s="1"/>
  <c r="P97" i="1"/>
  <c r="H161" i="1"/>
  <c r="AS34" i="6" s="1"/>
  <c r="H96" i="1"/>
  <c r="C168" i="1"/>
  <c r="AN41" i="6" s="1"/>
  <c r="B103" i="1"/>
  <c r="O161" i="1"/>
  <c r="AZ34" i="6" s="1"/>
  <c r="O96" i="1"/>
  <c r="K161" i="1"/>
  <c r="AV34" i="6" s="1"/>
  <c r="K96" i="1"/>
  <c r="J161" i="1" l="1"/>
  <c r="AU34" i="6" s="1"/>
  <c r="J96" i="1"/>
  <c r="M96" i="1"/>
  <c r="M161" i="1"/>
  <c r="AX34" i="6" s="1"/>
  <c r="G161" i="1"/>
  <c r="AR34" i="6" s="1"/>
  <c r="G96" i="1"/>
  <c r="K162" i="1"/>
  <c r="AV35" i="6" s="1"/>
  <c r="K97" i="1"/>
  <c r="B169" i="1"/>
  <c r="AM42" i="6" s="1"/>
  <c r="C103" i="1"/>
  <c r="P163" i="1"/>
  <c r="BA36" i="6" s="1"/>
  <c r="P98" i="1"/>
  <c r="L162" i="1"/>
  <c r="AW35" i="6" s="1"/>
  <c r="L97" i="1"/>
  <c r="O162" i="1"/>
  <c r="AZ35" i="6" s="1"/>
  <c r="O97" i="1"/>
  <c r="H162" i="1"/>
  <c r="AS35" i="6" s="1"/>
  <c r="H97" i="1"/>
  <c r="N162" i="1"/>
  <c r="AY35" i="6" s="1"/>
  <c r="N97" i="1"/>
  <c r="I162" i="1"/>
  <c r="AT35" i="6" s="1"/>
  <c r="I97" i="1"/>
  <c r="M97" i="1" l="1"/>
  <c r="M162" i="1"/>
  <c r="AX35" i="6" s="1"/>
  <c r="G162" i="1"/>
  <c r="AR35" i="6" s="1"/>
  <c r="G97" i="1"/>
  <c r="J162" i="1"/>
  <c r="AU35" i="6" s="1"/>
  <c r="J97" i="1"/>
  <c r="I163" i="1"/>
  <c r="AT36" i="6" s="1"/>
  <c r="I98" i="1"/>
  <c r="H163" i="1"/>
  <c r="AS36" i="6" s="1"/>
  <c r="H98" i="1"/>
  <c r="L163" i="1"/>
  <c r="AW36" i="6" s="1"/>
  <c r="L98" i="1"/>
  <c r="B104" i="1"/>
  <c r="C169" i="1"/>
  <c r="AN42" i="6" s="1"/>
  <c r="N163" i="1"/>
  <c r="AY36" i="6" s="1"/>
  <c r="N98" i="1"/>
  <c r="O163" i="1"/>
  <c r="AZ36" i="6" s="1"/>
  <c r="O98" i="1"/>
  <c r="P164" i="1"/>
  <c r="BA37" i="6" s="1"/>
  <c r="P99" i="1"/>
  <c r="K163" i="1"/>
  <c r="AV36" i="6" s="1"/>
  <c r="K98" i="1"/>
  <c r="G163" i="1" l="1"/>
  <c r="AR36" i="6" s="1"/>
  <c r="G98" i="1"/>
  <c r="J163" i="1"/>
  <c r="AU36" i="6" s="1"/>
  <c r="J98" i="1"/>
  <c r="M98" i="1"/>
  <c r="M163" i="1"/>
  <c r="AX36" i="6" s="1"/>
  <c r="K99" i="1"/>
  <c r="K164" i="1"/>
  <c r="AV37" i="6" s="1"/>
  <c r="O164" i="1"/>
  <c r="AZ37" i="6" s="1"/>
  <c r="O99" i="1"/>
  <c r="H164" i="1"/>
  <c r="AS37" i="6" s="1"/>
  <c r="H99" i="1"/>
  <c r="P165" i="1"/>
  <c r="BA38" i="6" s="1"/>
  <c r="P100" i="1"/>
  <c r="N164" i="1"/>
  <c r="AY37" i="6" s="1"/>
  <c r="N99" i="1"/>
  <c r="B170" i="1"/>
  <c r="AM43" i="6" s="1"/>
  <c r="C104" i="1"/>
  <c r="L164" i="1"/>
  <c r="AW37" i="6" s="1"/>
  <c r="L99" i="1"/>
  <c r="I164" i="1"/>
  <c r="AT37" i="6" s="1"/>
  <c r="I99" i="1"/>
  <c r="J164" i="1" l="1"/>
  <c r="AU37" i="6" s="1"/>
  <c r="J99" i="1"/>
  <c r="G164" i="1"/>
  <c r="AR37" i="6" s="1"/>
  <c r="G99" i="1"/>
  <c r="M99" i="1"/>
  <c r="M164" i="1"/>
  <c r="AX37" i="6" s="1"/>
  <c r="I165" i="1"/>
  <c r="AT38" i="6" s="1"/>
  <c r="I100" i="1"/>
  <c r="C170" i="1"/>
  <c r="AN43" i="6" s="1"/>
  <c r="B105" i="1"/>
  <c r="P166" i="1"/>
  <c r="BA39" i="6" s="1"/>
  <c r="P101" i="1"/>
  <c r="O165" i="1"/>
  <c r="AZ38" i="6" s="1"/>
  <c r="O100" i="1"/>
  <c r="K165" i="1"/>
  <c r="AV38" i="6" s="1"/>
  <c r="K100" i="1"/>
  <c r="L165" i="1"/>
  <c r="AW38" i="6" s="1"/>
  <c r="L100" i="1"/>
  <c r="N165" i="1"/>
  <c r="AY38" i="6" s="1"/>
  <c r="N100" i="1"/>
  <c r="H165" i="1"/>
  <c r="AS38" i="6" s="1"/>
  <c r="H100" i="1"/>
  <c r="G165" i="1" l="1"/>
  <c r="AR38" i="6" s="1"/>
  <c r="G100" i="1"/>
  <c r="J165" i="1"/>
  <c r="AU38" i="6" s="1"/>
  <c r="J100" i="1"/>
  <c r="M100" i="1"/>
  <c r="M165" i="1"/>
  <c r="AX38" i="6" s="1"/>
  <c r="H166" i="1"/>
  <c r="AS39" i="6" s="1"/>
  <c r="H101" i="1"/>
  <c r="L166" i="1"/>
  <c r="AW39" i="6" s="1"/>
  <c r="L101" i="1"/>
  <c r="O166" i="1"/>
  <c r="AZ39" i="6" s="1"/>
  <c r="O101" i="1"/>
  <c r="B171" i="1"/>
  <c r="AM44" i="6" s="1"/>
  <c r="C105" i="1"/>
  <c r="N166" i="1"/>
  <c r="AY39" i="6" s="1"/>
  <c r="N101" i="1"/>
  <c r="K166" i="1"/>
  <c r="AV39" i="6" s="1"/>
  <c r="K101" i="1"/>
  <c r="P167" i="1"/>
  <c r="BA40" i="6" s="1"/>
  <c r="P102" i="1"/>
  <c r="I166" i="1"/>
  <c r="AT39" i="6" s="1"/>
  <c r="I101" i="1"/>
  <c r="J166" i="1" l="1"/>
  <c r="AU39" i="6" s="1"/>
  <c r="J101" i="1"/>
  <c r="G101" i="1"/>
  <c r="G166" i="1"/>
  <c r="AR39" i="6" s="1"/>
  <c r="M166" i="1"/>
  <c r="AX39" i="6" s="1"/>
  <c r="M101" i="1"/>
  <c r="N167" i="1"/>
  <c r="AY40" i="6" s="1"/>
  <c r="N102" i="1"/>
  <c r="O167" i="1"/>
  <c r="AZ40" i="6" s="1"/>
  <c r="O102" i="1"/>
  <c r="H167" i="1"/>
  <c r="AS40" i="6" s="1"/>
  <c r="H102" i="1"/>
  <c r="I167" i="1"/>
  <c r="AT40" i="6" s="1"/>
  <c r="I102" i="1"/>
  <c r="K167" i="1"/>
  <c r="AV40" i="6" s="1"/>
  <c r="K102" i="1"/>
  <c r="C171" i="1"/>
  <c r="AN44" i="6" s="1"/>
  <c r="C106" i="1"/>
  <c r="L167" i="1"/>
  <c r="AW40" i="6" s="1"/>
  <c r="L102" i="1"/>
  <c r="P168" i="1"/>
  <c r="BA41" i="6" s="1"/>
  <c r="P103" i="1"/>
  <c r="G102" i="1" l="1"/>
  <c r="G167" i="1"/>
  <c r="AR40" i="6" s="1"/>
  <c r="M167" i="1"/>
  <c r="AX40" i="6" s="1"/>
  <c r="M102" i="1"/>
  <c r="J167" i="1"/>
  <c r="AU40" i="6" s="1"/>
  <c r="J102" i="1"/>
  <c r="P169" i="1"/>
  <c r="BA42" i="6" s="1"/>
  <c r="P104" i="1"/>
  <c r="C172" i="1"/>
  <c r="I103" i="1"/>
  <c r="I168" i="1"/>
  <c r="AT41" i="6" s="1"/>
  <c r="O168" i="1"/>
  <c r="AZ41" i="6" s="1"/>
  <c r="O103" i="1"/>
  <c r="L103" i="1"/>
  <c r="L168" i="1"/>
  <c r="AW41" i="6" s="1"/>
  <c r="K103" i="1"/>
  <c r="K168" i="1"/>
  <c r="AV41" i="6" s="1"/>
  <c r="H103" i="1"/>
  <c r="H168" i="1"/>
  <c r="AS41" i="6" s="1"/>
  <c r="N103" i="1"/>
  <c r="N168" i="1"/>
  <c r="AY41" i="6" s="1"/>
  <c r="M168" i="1" l="1"/>
  <c r="AX41" i="6" s="1"/>
  <c r="M103" i="1"/>
  <c r="J168" i="1"/>
  <c r="AU41" i="6" s="1"/>
  <c r="J103" i="1"/>
  <c r="G168" i="1"/>
  <c r="AR41" i="6" s="1"/>
  <c r="G103" i="1"/>
  <c r="C183" i="1"/>
  <c r="B184" i="1" s="1"/>
  <c r="C186" i="1" s="1"/>
  <c r="B187" i="1" s="1"/>
  <c r="AN45" i="6"/>
  <c r="N169" i="1"/>
  <c r="AY42" i="6" s="1"/>
  <c r="N104" i="1"/>
  <c r="K169" i="1"/>
  <c r="AV42" i="6" s="1"/>
  <c r="K104" i="1"/>
  <c r="H169" i="1"/>
  <c r="AS42" i="6" s="1"/>
  <c r="H104" i="1"/>
  <c r="L169" i="1"/>
  <c r="AW42" i="6" s="1"/>
  <c r="L104" i="1"/>
  <c r="O169" i="1"/>
  <c r="AZ42" i="6" s="1"/>
  <c r="O104" i="1"/>
  <c r="I169" i="1"/>
  <c r="AT42" i="6" s="1"/>
  <c r="I104" i="1"/>
  <c r="P170" i="1"/>
  <c r="BA43" i="6" s="1"/>
  <c r="P105" i="1"/>
  <c r="J169" i="1" l="1"/>
  <c r="AU42" i="6" s="1"/>
  <c r="J104" i="1"/>
  <c r="G104" i="1"/>
  <c r="G169" i="1"/>
  <c r="AR42" i="6" s="1"/>
  <c r="M169" i="1"/>
  <c r="AX42" i="6" s="1"/>
  <c r="M104" i="1"/>
  <c r="C184" i="1"/>
  <c r="C185" i="1" s="1"/>
  <c r="B186" i="1" s="1"/>
  <c r="D186" i="1" s="1"/>
  <c r="C187" i="1"/>
  <c r="D187" i="1" s="1"/>
  <c r="I170" i="1"/>
  <c r="AT43" i="6" s="1"/>
  <c r="I105" i="1"/>
  <c r="L170" i="1"/>
  <c r="AW43" i="6" s="1"/>
  <c r="L105" i="1"/>
  <c r="K105" i="1"/>
  <c r="K170" i="1"/>
  <c r="AV43" i="6" s="1"/>
  <c r="P106" i="1"/>
  <c r="P171" i="1"/>
  <c r="BA44" i="6" s="1"/>
  <c r="O170" i="1"/>
  <c r="AZ43" i="6" s="1"/>
  <c r="O105" i="1"/>
  <c r="H170" i="1"/>
  <c r="AS43" i="6" s="1"/>
  <c r="H105" i="1"/>
  <c r="N170" i="1"/>
  <c r="AY43" i="6" s="1"/>
  <c r="N105" i="1"/>
  <c r="D184" i="1" l="1"/>
  <c r="G170" i="1"/>
  <c r="AR43" i="6" s="1"/>
  <c r="G105" i="1"/>
  <c r="M170" i="1"/>
  <c r="AX43" i="6" s="1"/>
  <c r="M105" i="1"/>
  <c r="J105" i="1"/>
  <c r="J170" i="1"/>
  <c r="AU43" i="6" s="1"/>
  <c r="H108" i="1"/>
  <c r="H106" i="1"/>
  <c r="H171" i="1"/>
  <c r="AS44" i="6" s="1"/>
  <c r="K108" i="1"/>
  <c r="K106" i="1"/>
  <c r="K171" i="1"/>
  <c r="AV44" i="6" s="1"/>
  <c r="L106" i="1"/>
  <c r="L171" i="1"/>
  <c r="AW44" i="6" s="1"/>
  <c r="N106" i="1"/>
  <c r="N171" i="1"/>
  <c r="AY44" i="6" s="1"/>
  <c r="O106" i="1"/>
  <c r="O171" i="1"/>
  <c r="AZ44" i="6" s="1"/>
  <c r="P172" i="1"/>
  <c r="I106" i="1"/>
  <c r="I171" i="1"/>
  <c r="AT44" i="6" s="1"/>
  <c r="G171" i="1" l="1"/>
  <c r="AR44" i="6" s="1"/>
  <c r="G106" i="1"/>
  <c r="G172" i="1" s="1"/>
  <c r="J106" i="1"/>
  <c r="J172" i="1" s="1"/>
  <c r="J171" i="1"/>
  <c r="AU44" i="6" s="1"/>
  <c r="M106" i="1"/>
  <c r="M172" i="1" s="1"/>
  <c r="M171" i="1"/>
  <c r="AX44" i="6" s="1"/>
  <c r="P183" i="1"/>
  <c r="P184" i="1" s="1"/>
  <c r="P185" i="1" s="1"/>
  <c r="P186" i="1" s="1"/>
  <c r="P187" i="1" s="1"/>
  <c r="BA45" i="6"/>
  <c r="I172" i="1"/>
  <c r="AT45" i="6" s="1"/>
  <c r="O172" i="1"/>
  <c r="L172" i="1"/>
  <c r="N172" i="1"/>
  <c r="M114" i="1"/>
  <c r="Z62" i="1" s="1"/>
  <c r="N114" i="1"/>
  <c r="AA62" i="1" s="1"/>
  <c r="K172" i="1"/>
  <c r="L114" i="1"/>
  <c r="Y62" i="1" s="1"/>
  <c r="H172" i="1"/>
  <c r="AS45" i="6" s="1"/>
  <c r="AU45" i="6" l="1"/>
  <c r="J183" i="1"/>
  <c r="J184" i="1" s="1"/>
  <c r="J185" i="1" s="1"/>
  <c r="J186" i="1" s="1"/>
  <c r="J187" i="1" s="1"/>
  <c r="AR45" i="6"/>
  <c r="G183" i="1"/>
  <c r="G184" i="1" s="1"/>
  <c r="G185" i="1" s="1"/>
  <c r="G186" i="1" s="1"/>
  <c r="G187" i="1" s="1"/>
  <c r="M183" i="1"/>
  <c r="M184" i="1" s="1"/>
  <c r="M185" i="1" s="1"/>
  <c r="M186" i="1" s="1"/>
  <c r="M187" i="1" s="1"/>
  <c r="AX45" i="6"/>
  <c r="N183" i="1"/>
  <c r="N184" i="1" s="1"/>
  <c r="N185" i="1" s="1"/>
  <c r="N186" i="1" s="1"/>
  <c r="N187" i="1" s="1"/>
  <c r="AY45" i="6"/>
  <c r="O183" i="1"/>
  <c r="O184" i="1" s="1"/>
  <c r="O185" i="1" s="1"/>
  <c r="O186" i="1" s="1"/>
  <c r="O187" i="1" s="1"/>
  <c r="AZ45" i="6"/>
  <c r="K183" i="1"/>
  <c r="K184" i="1" s="1"/>
  <c r="K185" i="1" s="1"/>
  <c r="K186" i="1" s="1"/>
  <c r="K187" i="1" s="1"/>
  <c r="AV45" i="6"/>
  <c r="L183" i="1"/>
  <c r="L184" i="1" s="1"/>
  <c r="L185" i="1" s="1"/>
  <c r="L186" i="1" s="1"/>
  <c r="L187" i="1" s="1"/>
  <c r="AW45" i="6"/>
  <c r="H183" i="1"/>
  <c r="H184" i="1" s="1"/>
  <c r="H185" i="1" s="1"/>
  <c r="H186" i="1" s="1"/>
  <c r="H187" i="1" s="1"/>
  <c r="I183" i="1"/>
  <c r="I184" i="1" s="1"/>
  <c r="I185" i="1" s="1"/>
  <c r="I186" i="1" s="1"/>
  <c r="I187" i="1" s="1"/>
  <c r="BI27" i="6"/>
  <c r="BK27" i="6"/>
  <c r="BJ27" i="6"/>
  <c r="U21" i="24" l="1"/>
  <c r="U22" i="24" s="1"/>
  <c r="U12" i="24"/>
  <c r="U19" i="24" s="1"/>
  <c r="U20" i="24" l="1"/>
  <c r="U23" i="24"/>
  <c r="V10" i="24"/>
  <c r="V21" i="24"/>
  <c r="V22" i="24" s="1"/>
  <c r="V12" i="24"/>
  <c r="V19" i="24" l="1"/>
  <c r="V20" i="24" s="1"/>
  <c r="V23" i="24"/>
  <c r="W10" i="24"/>
  <c r="W21" i="24"/>
  <c r="W22" i="24" s="1"/>
  <c r="W12" i="24"/>
  <c r="W19" i="24" s="1"/>
  <c r="W20" i="24" l="1"/>
  <c r="W23" i="24"/>
  <c r="X10" i="24"/>
  <c r="X21" i="24"/>
  <c r="X22" i="24" s="1"/>
  <c r="K10" i="24"/>
  <c r="N10" i="24" s="1"/>
  <c r="K16" i="24"/>
  <c r="N16" i="24" s="1"/>
  <c r="K12" i="24"/>
  <c r="N12" i="24" s="1"/>
  <c r="K21" i="24"/>
  <c r="N21" i="24" s="1"/>
  <c r="K17" i="24"/>
  <c r="N17" i="24" s="1"/>
  <c r="K13" i="24"/>
  <c r="N13" i="24" s="1"/>
  <c r="K22" i="24"/>
  <c r="N22" i="24" s="1"/>
  <c r="K14" i="24"/>
  <c r="N14" i="24" s="1"/>
  <c r="K19" i="24"/>
  <c r="N19" i="24" s="1"/>
  <c r="K15" i="24"/>
  <c r="N15" i="24" s="1"/>
  <c r="K20" i="24"/>
  <c r="N20" i="24" s="1"/>
  <c r="K11" i="24"/>
  <c r="N11" i="24" s="1"/>
  <c r="K18" i="24"/>
  <c r="N18" i="24" s="1"/>
  <c r="K23" i="24"/>
  <c r="N23" i="24" s="1"/>
  <c r="X12" i="24"/>
  <c r="X19" i="24" s="1"/>
  <c r="N24" i="24" l="1"/>
  <c r="B53" i="24" s="1"/>
  <c r="X20" i="24"/>
  <c r="X23" i="24"/>
  <c r="U31" i="24"/>
  <c r="U30" i="24"/>
  <c r="U42" i="24"/>
  <c r="U44" i="24" s="1"/>
  <c r="U33" i="24"/>
  <c r="C68" i="24" l="1"/>
  <c r="C72" i="24"/>
  <c r="C64" i="24"/>
  <c r="C70" i="24"/>
  <c r="C61" i="24"/>
  <c r="C73" i="24"/>
  <c r="C69" i="24"/>
  <c r="C71" i="24"/>
  <c r="C75" i="24"/>
  <c r="C65" i="24"/>
  <c r="C62" i="24"/>
  <c r="C63" i="24"/>
  <c r="C74" i="24"/>
  <c r="C67" i="24"/>
  <c r="C66" i="24"/>
  <c r="C76" i="24"/>
  <c r="U40" i="24"/>
  <c r="U41" i="24" s="1"/>
  <c r="U43" i="24"/>
  <c r="V31" i="24"/>
  <c r="V30" i="24"/>
  <c r="V42" i="24"/>
  <c r="V44" i="24" s="1"/>
  <c r="V33" i="24"/>
  <c r="V40" i="24" l="1"/>
  <c r="V41" i="24" s="1"/>
  <c r="V43" i="24"/>
  <c r="W31" i="24"/>
  <c r="W42" i="24"/>
  <c r="W43" i="24" s="1"/>
  <c r="W33" i="24"/>
  <c r="W44" i="24" l="1"/>
  <c r="W40" i="24"/>
  <c r="W41" i="24" s="1"/>
  <c r="X31" i="24"/>
  <c r="M20" i="24"/>
  <c r="P20" i="24" s="1"/>
  <c r="M14" i="24"/>
  <c r="P14" i="24" s="1"/>
  <c r="M21" i="24"/>
  <c r="P21" i="24" s="1"/>
  <c r="M12" i="24"/>
  <c r="P12" i="24" s="1"/>
  <c r="M18" i="24"/>
  <c r="P18" i="24" s="1"/>
  <c r="X42" i="24"/>
  <c r="X43" i="24" s="1"/>
  <c r="M19" i="24"/>
  <c r="P19" i="24" s="1"/>
  <c r="M10" i="24"/>
  <c r="P10" i="24" s="1"/>
  <c r="M17" i="24"/>
  <c r="P17" i="24" s="1"/>
  <c r="M16" i="24"/>
  <c r="P16" i="24" s="1"/>
  <c r="M23" i="24"/>
  <c r="P23" i="24" s="1"/>
  <c r="M15" i="24"/>
  <c r="P15" i="24" s="1"/>
  <c r="M13" i="24"/>
  <c r="P13" i="24" s="1"/>
  <c r="M22" i="24"/>
  <c r="P22" i="24" s="1"/>
  <c r="X33" i="24"/>
  <c r="M11" i="24"/>
  <c r="P11" i="24" s="1"/>
  <c r="X40" i="24" l="1"/>
  <c r="P24" i="24"/>
  <c r="B55" i="24" s="1"/>
  <c r="X41" i="24"/>
  <c r="X44" i="24"/>
  <c r="AC9" i="24"/>
  <c r="AC21" i="24"/>
  <c r="AC11" i="24"/>
  <c r="AC18" i="24" s="1"/>
  <c r="E69" i="24" l="1"/>
  <c r="E67" i="24"/>
  <c r="E63" i="24"/>
  <c r="E65" i="24"/>
  <c r="E76" i="24"/>
  <c r="E70" i="24"/>
  <c r="E74" i="24"/>
  <c r="E72" i="24"/>
  <c r="E68" i="24"/>
  <c r="E61" i="24"/>
  <c r="E66" i="24"/>
  <c r="E64" i="24"/>
  <c r="E75" i="24"/>
  <c r="E71" i="24"/>
  <c r="E73" i="24"/>
  <c r="E62" i="24"/>
  <c r="AC19" i="24"/>
  <c r="AD9" i="24"/>
  <c r="AD20" i="24"/>
  <c r="AD21" i="24" s="1"/>
  <c r="AD11" i="24"/>
  <c r="AD18" i="24" l="1"/>
  <c r="AD22" i="24"/>
  <c r="AD19" i="24"/>
  <c r="AE9" i="24"/>
  <c r="AE20" i="24"/>
  <c r="AE21" i="24" s="1"/>
  <c r="AE11" i="24"/>
  <c r="AE22" i="24" l="1"/>
  <c r="AE18" i="24"/>
  <c r="AE19" i="24" s="1"/>
  <c r="AF20" i="24"/>
  <c r="AF21" i="24" s="1"/>
  <c r="L19" i="24"/>
  <c r="O19" i="24" s="1"/>
  <c r="L20" i="24"/>
  <c r="O20" i="24" s="1"/>
  <c r="L12" i="24"/>
  <c r="O12" i="24" s="1"/>
  <c r="L17" i="24"/>
  <c r="O17" i="24" s="1"/>
  <c r="L13" i="24"/>
  <c r="O13" i="24" s="1"/>
  <c r="L21" i="24"/>
  <c r="O21" i="24" s="1"/>
  <c r="L15" i="24"/>
  <c r="O15" i="24" s="1"/>
  <c r="L22" i="24"/>
  <c r="O22" i="24" s="1"/>
  <c r="L18" i="24"/>
  <c r="O18" i="24" s="1"/>
  <c r="L14" i="24"/>
  <c r="O14" i="24" s="1"/>
  <c r="L23" i="24"/>
  <c r="O23" i="24" s="1"/>
  <c r="L11" i="24"/>
  <c r="O11" i="24" s="1"/>
  <c r="L16" i="24"/>
  <c r="O16" i="24" s="1"/>
  <c r="AF11" i="24"/>
  <c r="AF18" i="24" s="1"/>
  <c r="L10" i="24"/>
  <c r="O10" i="24" s="1"/>
  <c r="O24" i="24" l="1"/>
  <c r="B54" i="24" s="1"/>
  <c r="AF19" i="24"/>
  <c r="AF22" i="24"/>
  <c r="D64" i="24" l="1"/>
  <c r="D65" i="24"/>
  <c r="D67" i="24"/>
  <c r="D62" i="24"/>
  <c r="D69" i="24"/>
  <c r="D73" i="24"/>
  <c r="D71" i="24"/>
  <c r="D76" i="24"/>
  <c r="D75" i="24"/>
  <c r="D61" i="24"/>
  <c r="D74" i="24"/>
  <c r="D68" i="24"/>
  <c r="D72" i="24"/>
  <c r="D63" i="24"/>
  <c r="D66" i="24"/>
  <c r="D70" i="24"/>
</calcChain>
</file>

<file path=xl/sharedStrings.xml><?xml version="1.0" encoding="utf-8"?>
<sst xmlns="http://schemas.openxmlformats.org/spreadsheetml/2006/main" count="944" uniqueCount="232">
  <si>
    <t>Gallerie di Linea Direzione Sud</t>
  </si>
  <si>
    <t>Open TBM</t>
  </si>
  <si>
    <t>DS TBM</t>
  </si>
  <si>
    <t>Formazione</t>
  </si>
  <si>
    <t>L</t>
  </si>
  <si>
    <t>RMR</t>
  </si>
  <si>
    <t>V</t>
  </si>
  <si>
    <t>IV</t>
  </si>
  <si>
    <t>III</t>
  </si>
  <si>
    <t>II-I</t>
  </si>
  <si>
    <t>20-40</t>
  </si>
  <si>
    <t>40-60</t>
  </si>
  <si>
    <t>60-100</t>
  </si>
  <si>
    <t>GB-G-GA-1</t>
  </si>
  <si>
    <t>GB-G-GA-2</t>
  </si>
  <si>
    <t>GB-G-GA-3</t>
  </si>
  <si>
    <t>GB-G-GA-4</t>
  </si>
  <si>
    <t>GB-G-GA-5</t>
  </si>
  <si>
    <t>GB-G-GA-6</t>
  </si>
  <si>
    <t>Pk DA</t>
  </si>
  <si>
    <t>Pk A</t>
  </si>
  <si>
    <t>S TBM</t>
  </si>
  <si>
    <t>[-]</t>
  </si>
  <si>
    <t>μ</t>
  </si>
  <si>
    <t>Inputs</t>
  </si>
  <si>
    <t>σ</t>
  </si>
  <si>
    <t>Classe</t>
  </si>
  <si>
    <t>Parametri</t>
  </si>
  <si>
    <t>Classe III</t>
  </si>
  <si>
    <t>Classe IV</t>
  </si>
  <si>
    <t>Classe V</t>
  </si>
  <si>
    <t>[MPa]</t>
  </si>
  <si>
    <t>UCS</t>
  </si>
  <si>
    <t>-</t>
  </si>
  <si>
    <t>TC</t>
  </si>
  <si>
    <t>Cassinelli et al. (1982)</t>
  </si>
  <si>
    <t>Sapigni et al. (2002)</t>
  </si>
  <si>
    <t>μ-σ</t>
  </si>
  <si>
    <t>μ+σ</t>
  </si>
  <si>
    <t>ROP</t>
  </si>
  <si>
    <t>[m/h]</t>
  </si>
  <si>
    <t>[rpm]</t>
  </si>
  <si>
    <t>Geology</t>
  </si>
  <si>
    <t>TBM</t>
  </si>
  <si>
    <t>&lt;20</t>
  </si>
  <si>
    <t>Grandori et al. (2011)</t>
  </si>
  <si>
    <t>Media</t>
  </si>
  <si>
    <t>UF</t>
  </si>
  <si>
    <t>[%]</t>
  </si>
  <si>
    <t>Macchina</t>
  </si>
  <si>
    <t>Shield TBM</t>
  </si>
  <si>
    <t>Double Shield TBM</t>
  </si>
  <si>
    <t>Classe di roccia</t>
  </si>
  <si>
    <t>Modello</t>
  </si>
  <si>
    <t>Open</t>
  </si>
  <si>
    <t>Innaurato (1990)</t>
  </si>
  <si>
    <t>Fuoco (1996)</t>
  </si>
  <si>
    <t>MEDIA</t>
  </si>
  <si>
    <t>Sapigni (2002)</t>
  </si>
  <si>
    <t>Classe I-II</t>
  </si>
  <si>
    <t>O TBM</t>
  </si>
  <si>
    <t>AR</t>
  </si>
  <si>
    <t>[M]</t>
  </si>
  <si>
    <t>t</t>
  </si>
  <si>
    <t>[m/M]</t>
  </si>
  <si>
    <t>min</t>
  </si>
  <si>
    <t>media</t>
  </si>
  <si>
    <t>max</t>
  </si>
  <si>
    <t>[m]</t>
  </si>
  <si>
    <t>F4</t>
  </si>
  <si>
    <t>F6-F7</t>
  </si>
  <si>
    <t>F9</t>
  </si>
  <si>
    <t>F11</t>
  </si>
  <si>
    <t>F12</t>
  </si>
  <si>
    <t>Cassinelli et al(1982)</t>
  </si>
  <si>
    <t>Innaurato et al(1990)</t>
  </si>
  <si>
    <t>Sapigni et al(2002)</t>
  </si>
  <si>
    <t>Grandori et al(2011)</t>
  </si>
  <si>
    <t>v</t>
  </si>
  <si>
    <r>
      <t>v</t>
    </r>
    <r>
      <rPr>
        <b/>
        <vertAlign val="subscript"/>
        <sz val="11"/>
        <color theme="1"/>
        <rFont val="Swis721 Cn BT"/>
        <family val="2"/>
      </rPr>
      <t>rot</t>
    </r>
  </si>
  <si>
    <r>
      <t>ROP</t>
    </r>
    <r>
      <rPr>
        <b/>
        <vertAlign val="superscript"/>
        <sz val="8"/>
        <rFont val="Swis721 Cn BT"/>
        <family val="2"/>
      </rPr>
      <t>-</t>
    </r>
  </si>
  <si>
    <r>
      <t>ROP</t>
    </r>
    <r>
      <rPr>
        <b/>
        <vertAlign val="subscript"/>
        <sz val="8"/>
        <rFont val="Swis721 Cn BT"/>
        <family val="2"/>
      </rPr>
      <t>av</t>
    </r>
  </si>
  <si>
    <r>
      <t>ROP</t>
    </r>
    <r>
      <rPr>
        <b/>
        <vertAlign val="superscript"/>
        <sz val="8"/>
        <rFont val="Swis721 Cn BT"/>
        <family val="2"/>
      </rPr>
      <t>+</t>
    </r>
  </si>
  <si>
    <r>
      <t>t</t>
    </r>
    <r>
      <rPr>
        <vertAlign val="subscript"/>
        <sz val="8"/>
        <color theme="1"/>
        <rFont val="Swis721 Cn BT"/>
        <family val="2"/>
      </rPr>
      <t>medio</t>
    </r>
  </si>
  <si>
    <r>
      <t>v</t>
    </r>
    <r>
      <rPr>
        <vertAlign val="subscript"/>
        <sz val="8"/>
        <color theme="1"/>
        <rFont val="Swis721 Cn BT"/>
        <family val="2"/>
      </rPr>
      <t>media</t>
    </r>
  </si>
  <si>
    <r>
      <t>L</t>
    </r>
    <r>
      <rPr>
        <b/>
        <vertAlign val="subscript"/>
        <sz val="8"/>
        <rFont val="Swis721 Cn BT"/>
        <family val="2"/>
      </rPr>
      <t>cum</t>
    </r>
  </si>
  <si>
    <t>Unità</t>
  </si>
  <si>
    <t>Tempo di scavo</t>
  </si>
  <si>
    <t>h/gg</t>
  </si>
  <si>
    <t>Installazione dei conci</t>
  </si>
  <si>
    <t>Manutenzione</t>
  </si>
  <si>
    <t>Estensione dei servizi</t>
  </si>
  <si>
    <t>Sondaggi</t>
  </si>
  <si>
    <t>Imprevisti</t>
  </si>
  <si>
    <t>TOTALE</t>
  </si>
  <si>
    <t>Rendimento</t>
  </si>
  <si>
    <t>%</t>
  </si>
  <si>
    <t>Avanzamento giornaliero netto</t>
  </si>
  <si>
    <t>m/gg</t>
  </si>
  <si>
    <t>Avanzamento diario (dom festiva)</t>
  </si>
  <si>
    <t>Regripping</t>
  </si>
  <si>
    <t>Installazione dei supporti</t>
  </si>
  <si>
    <r>
      <t>L</t>
    </r>
    <r>
      <rPr>
        <b/>
        <vertAlign val="subscript"/>
        <sz val="11"/>
        <color theme="1"/>
        <rFont val="Swis721 Cn BT"/>
        <family val="2"/>
      </rPr>
      <t>ring</t>
    </r>
  </si>
  <si>
    <t>*</t>
  </si>
  <si>
    <t>Classi di ammasso omogeneo</t>
  </si>
  <si>
    <t>* = diminuito per fattore correttivo riguardo al diametro</t>
  </si>
  <si>
    <t>[m/gg]</t>
  </si>
  <si>
    <t>Commenti:</t>
  </si>
  <si>
    <t>Sondaggi e indagini</t>
  </si>
  <si>
    <t>Anelli giornalieri</t>
  </si>
  <si>
    <t>Spinte giornaliere</t>
  </si>
  <si>
    <t>Attivitá del ciclo costruttivo giornaliero Open TBM</t>
  </si>
  <si>
    <t>Attivitá del ciclo costruttivo giornaliero S TBM</t>
  </si>
  <si>
    <t>Attivitá del ciclo costruttivo giornaliero DS TBM</t>
  </si>
  <si>
    <t>AR = ROP * UF</t>
  </si>
  <si>
    <t xml:space="preserve"> - UF ottenuto dai modelli elencati in funzione dell'RMR</t>
  </si>
  <si>
    <t>DATI PER MONTAGGIO SPAZIO-TEMPO</t>
  </si>
  <si>
    <t>Smontaggio</t>
  </si>
  <si>
    <t>Smont + Trasp</t>
  </si>
  <si>
    <t>Rimontaggio</t>
  </si>
  <si>
    <t>DS - O</t>
  </si>
  <si>
    <t>S - O</t>
  </si>
  <si>
    <t>Trasporto</t>
  </si>
  <si>
    <t>O</t>
  </si>
  <si>
    <t>S</t>
  </si>
  <si>
    <t>DS</t>
  </si>
  <si>
    <t>Totale</t>
  </si>
  <si>
    <t>v [m/M]</t>
  </si>
  <si>
    <t>S - DS</t>
  </si>
  <si>
    <t>Differenza tempi</t>
  </si>
  <si>
    <t>Progetto</t>
  </si>
  <si>
    <t>Montaggio TBM</t>
  </si>
  <si>
    <t>GL Est</t>
  </si>
  <si>
    <t>Fine cunicoli</t>
  </si>
  <si>
    <t>m/M</t>
  </si>
  <si>
    <t>EST</t>
  </si>
  <si>
    <t>OVEST</t>
  </si>
  <si>
    <t>M</t>
  </si>
  <si>
    <t>GL Ovest</t>
  </si>
  <si>
    <t>Massimo tra fine rivestimento est e fine cunicoli ovest</t>
  </si>
  <si>
    <t>L scavata</t>
  </si>
  <si>
    <t>L cumulata</t>
  </si>
  <si>
    <t>Fase</t>
  </si>
  <si>
    <t>Learning Curve</t>
  </si>
  <si>
    <t>Tratto 1</t>
  </si>
  <si>
    <t>Stop</t>
  </si>
  <si>
    <t>Tratto 3</t>
  </si>
  <si>
    <t>Tratto 2</t>
  </si>
  <si>
    <t>RME</t>
  </si>
  <si>
    <t>da 55010</t>
  </si>
  <si>
    <t>48 gg/anno per manutenzioni e prospezioni</t>
  </si>
  <si>
    <t>1)</t>
  </si>
  <si>
    <t>2)</t>
  </si>
  <si>
    <t>15 gg/anno per cunicoli trasversali</t>
  </si>
  <si>
    <t>3)</t>
  </si>
  <si>
    <t>12 gg/anno per interventi particolari</t>
  </si>
  <si>
    <t>BASE --&gt; 340 gg</t>
  </si>
  <si>
    <t>gg</t>
  </si>
  <si>
    <t>Drenaggi + indagini</t>
  </si>
  <si>
    <t>NEW Cunicoli Trasversali</t>
  </si>
  <si>
    <t>Interventi particolari</t>
  </si>
  <si>
    <t>Cunicoli</t>
  </si>
  <si>
    <t>Lcum</t>
  </si>
  <si>
    <t>Inizio</t>
  </si>
  <si>
    <t>Fine</t>
  </si>
  <si>
    <t>Pk</t>
  </si>
  <si>
    <t>Classi di amm. omogeneo</t>
  </si>
  <si>
    <t>Modelli base per il calcolo della penetrazione netta (Rate Of Penetration, ROP) e del coefficiente di utilizzazione (Utilization Factor, UF)</t>
  </si>
  <si>
    <t>Tabella per il calcolo di UF in funzione del tipo di macchina e dell'RMR</t>
  </si>
  <si>
    <t>Tabella per il calcolo di ROP in funzione del valore di RMR e del modello adottato</t>
  </si>
  <si>
    <t>Tabelle per il calcolo di UF in funzione del tipo di macchina, del modello adottato e dell'RMR</t>
  </si>
  <si>
    <t>&lt;-- La produzione è derivata dalla media ottenuta analizzando i modelli da articoli di letteratura</t>
  </si>
  <si>
    <t>&lt;-- Funzione della geologia, 5 minuti per spinta</t>
  </si>
  <si>
    <t>&lt;-- Funzione della geologia, 5 minuti per rockbolt + proporzione per classe V</t>
  </si>
  <si>
    <t>&lt;-- 4h secondo i documenti a base di gara</t>
  </si>
  <si>
    <t>&lt;-- 10 minuti per spinta, nell'estensione dei servizi è considerato anche il tempo necessario a giuntare il nastro</t>
  </si>
  <si>
    <t>&lt;-- 1% fisso</t>
  </si>
  <si>
    <t xml:space="preserve">&lt;-- 1000 m; velocità nel granito 15 m/h, 20 sondaggi nell'ultimo km (50 m di sovrapposizione), ogni sondaggio da 8h </t>
  </si>
  <si>
    <t>&lt;-- 15 gg/anno per cunicoli trasversali, 12 gg/anno per interventi particolari</t>
  </si>
  <si>
    <t>&lt;-- complementare di 24 h</t>
  </si>
  <si>
    <t>&lt;-- Tempo in cui la macchina è in azione</t>
  </si>
  <si>
    <t>&lt;-- 30 minuti per classe II e III, dove il ritmo è maggiore, 45 per gli altri</t>
  </si>
  <si>
    <t>&lt;-- 5 minuti per spinta, nell'estensione dei servizi è considerato anche il tempo necessario a giuntare il nastro</t>
  </si>
  <si>
    <t>&lt;-- Calcolato da progetto secondo i 48 gg di manutenzione a cui sono sottratti i tempi delle prospezioni</t>
  </si>
  <si>
    <t>&lt;-- 12 gg/anno per interventi particolari</t>
  </si>
  <si>
    <t>&lt;-- 15 gg/anno per cunicoli trasversali</t>
  </si>
  <si>
    <t>&lt;-- Complementare di 24 h</t>
  </si>
  <si>
    <t>&lt;-- Vedere TBM aperta</t>
  </si>
  <si>
    <t>&lt;-- Funzione della geologia, 5 minuti per spinta in classi I-II-III</t>
  </si>
  <si>
    <t>&lt;-- Per classi  I-II-III, tempo dovuto alle problematiche legate all'installazione dei conci (5 min)</t>
  </si>
  <si>
    <t>&lt;-- Classi I-II-III=10 minuti per spinta; Classi IV-V=5 minuti per spinta</t>
  </si>
  <si>
    <t>Tempo impiegato per un ciclo medio giornaliero in funzione del tipo di macchina e di roccia (le attività non sistematiche sono ripartite su base giornaliera)</t>
  </si>
  <si>
    <t>Tempo per un ciclo medio giornaliero in funzione del tipo di macchina e di roccia: diagrammi a torta</t>
  </si>
  <si>
    <t>Tempo per un ciclo medio giornaliero in funzione del tipo di macchina e di roccia: istogrammi</t>
  </si>
  <si>
    <t>&lt;-- Vincoli secondo i documenti a base di gara</t>
  </si>
  <si>
    <t>ogni 3 gg (dati cunicolo esplorativo nel granito), quindi 4 h ogni tre gg l'ultimo km, ovvero 0.5 h/gg sui 3 km, in tot. 1 h</t>
  </si>
  <si>
    <t>Open design</t>
  </si>
  <si>
    <t>S design</t>
  </si>
  <si>
    <t>DS design</t>
  </si>
  <si>
    <t>Riv. GL Est trad</t>
  </si>
  <si>
    <t>Riv. GL Est TBM</t>
  </si>
  <si>
    <t>Riv. GL Ovest tr</t>
  </si>
  <si>
    <t>Riv. GL Ovst TBM</t>
  </si>
  <si>
    <r>
      <rPr>
        <b/>
        <sz val="8"/>
        <color theme="1"/>
        <rFont val="Calibri"/>
        <family val="2"/>
      </rPr>
      <t>σ</t>
    </r>
    <r>
      <rPr>
        <b/>
        <vertAlign val="subscript"/>
        <sz val="8"/>
        <color theme="1"/>
        <rFont val="Swis721 Cn BT"/>
        <family val="2"/>
      </rPr>
      <t>c,i</t>
    </r>
  </si>
  <si>
    <t>&gt;80</t>
  </si>
  <si>
    <t>&gt;45</t>
  </si>
  <si>
    <t>x</t>
  </si>
  <si>
    <t>&lt;45</t>
  </si>
  <si>
    <t>70/80</t>
  </si>
  <si>
    <t>&lt;70</t>
  </si>
  <si>
    <t>Campi di utilizzo delle macchine secondo l'elaborato 55010:</t>
  </si>
  <si>
    <t xml:space="preserve">Calcolo avanzamento TBM GL sud, canna Est </t>
  </si>
  <si>
    <t>Tabella per il calcolo dell'Advance Rate (AR=ROP*UF) lungo la canna Est nel tratto Sud</t>
  </si>
  <si>
    <r>
      <t xml:space="preserve"> - ROP ottenuto dai modelli elencati in funzione dell'RMR e di 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c</t>
    </r>
  </si>
  <si>
    <t>Tabella per il calcolo della penetrazione netta (ROP) lungo la canna Est nel tratto Sud</t>
  </si>
  <si>
    <t>Calcolo dello spazio-tempo GL sud</t>
  </si>
  <si>
    <t>Tabella per il calcolo dell'Advance Rate di picco (AR=ROP*UF) lungo la canna Est nel tratto Sud</t>
  </si>
  <si>
    <t>Breakdown sistema di smarino</t>
  </si>
  <si>
    <t>Breakdown TBM</t>
  </si>
  <si>
    <t xml:space="preserve">Fattori di utilizzazione in caso di produzione di picco per TBM GL sud, canna Est </t>
  </si>
  <si>
    <t>Tabella per la open TBM</t>
  </si>
  <si>
    <t>Tabella per la double shield TBM</t>
  </si>
  <si>
    <t>Tabella per la shield TBM</t>
  </si>
  <si>
    <t>Tabella per il calcolo della durata della produzione di picco</t>
  </si>
  <si>
    <r>
      <t>AR</t>
    </r>
    <r>
      <rPr>
        <b/>
        <vertAlign val="subscript"/>
        <sz val="8"/>
        <rFont val="Swis721 Cn BT"/>
        <family val="2"/>
      </rPr>
      <t>picco</t>
    </r>
  </si>
  <si>
    <r>
      <t>ROP</t>
    </r>
    <r>
      <rPr>
        <b/>
        <vertAlign val="subscript"/>
        <sz val="10"/>
        <rFont val="Swis721 Cn BT"/>
        <family val="2"/>
      </rPr>
      <t>av</t>
    </r>
  </si>
  <si>
    <r>
      <t>t</t>
    </r>
    <r>
      <rPr>
        <b/>
        <vertAlign val="subscript"/>
        <sz val="8"/>
        <rFont val="Swis721 Cn BT"/>
        <family val="2"/>
      </rPr>
      <t>picco</t>
    </r>
  </si>
  <si>
    <t>[day]</t>
  </si>
  <si>
    <r>
      <t>AR</t>
    </r>
    <r>
      <rPr>
        <b/>
        <vertAlign val="subscript"/>
        <sz val="8"/>
        <rFont val="Swis721 Cn BT"/>
        <family val="2"/>
      </rPr>
      <t>medio</t>
    </r>
  </si>
  <si>
    <r>
      <t>t</t>
    </r>
    <r>
      <rPr>
        <b/>
        <vertAlign val="subscript"/>
        <sz val="8"/>
        <rFont val="Swis721 Cn BT"/>
        <family val="2"/>
      </rPr>
      <t>mese</t>
    </r>
  </si>
  <si>
    <r>
      <t>AR</t>
    </r>
    <r>
      <rPr>
        <b/>
        <vertAlign val="subscript"/>
        <sz val="8"/>
        <rFont val="Swis721 Cn BT"/>
        <family val="2"/>
      </rPr>
      <t xml:space="preserve">residuo </t>
    </r>
  </si>
  <si>
    <t>(1.2904525,1.540995,1.7915375,1.97058,2.1246225,2.187465,2.2253075,1.97355,1.7217925)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</si>
</sst>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\+000.00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Swis721 Cn BT"/>
      <family val="2"/>
    </font>
    <font>
      <b/>
      <sz val="11"/>
      <color theme="1"/>
      <name val="Swis721 Cn BT"/>
      <family val="2"/>
    </font>
    <font>
      <b/>
      <vertAlign val="subscript"/>
      <sz val="11"/>
      <color theme="1"/>
      <name val="Swis721 Cn BT"/>
      <family val="2"/>
    </font>
    <font>
      <sz val="8"/>
      <name val="Swis721 Cn BT"/>
      <family val="2"/>
    </font>
    <font>
      <sz val="10"/>
      <name val="Swis721 Cn BT"/>
      <family val="2"/>
    </font>
    <font>
      <b/>
      <sz val="10"/>
      <name val="Swis721 Cn BT"/>
      <family val="2"/>
    </font>
    <font>
      <b/>
      <sz val="8"/>
      <name val="Swis721 Cn BT"/>
      <family val="2"/>
    </font>
    <font>
      <sz val="8"/>
      <color theme="1"/>
      <name val="Swis721 Cn BT"/>
      <family val="2"/>
    </font>
    <font>
      <b/>
      <sz val="8"/>
      <color theme="1"/>
      <name val="Swis721 Cn BT"/>
      <family val="2"/>
    </font>
    <font>
      <b/>
      <vertAlign val="superscript"/>
      <sz val="8"/>
      <name val="Swis721 Cn BT"/>
      <family val="2"/>
    </font>
    <font>
      <b/>
      <vertAlign val="subscript"/>
      <sz val="8"/>
      <name val="Swis721 Cn BT"/>
      <family val="2"/>
    </font>
    <font>
      <vertAlign val="subscript"/>
      <sz val="8"/>
      <color theme="1"/>
      <name val="Swis721 Cn BT"/>
      <family val="2"/>
    </font>
    <font>
      <sz val="10"/>
      <color theme="1"/>
      <name val="Swis721 Cn BT"/>
      <family val="2"/>
    </font>
    <font>
      <b/>
      <sz val="10"/>
      <color theme="1"/>
      <name val="Swis721 Cn BT"/>
      <family val="2"/>
    </font>
    <font>
      <b/>
      <u/>
      <sz val="8"/>
      <color theme="1"/>
      <name val="Swis721 Cn BT"/>
      <family val="2"/>
    </font>
    <font>
      <b/>
      <sz val="16"/>
      <color theme="1"/>
      <name val="Swis721 Cn BT"/>
      <family val="2"/>
    </font>
    <font>
      <b/>
      <sz val="14"/>
      <color theme="1"/>
      <name val="Swis721 Cn BT"/>
      <family val="2"/>
    </font>
    <font>
      <b/>
      <i/>
      <sz val="10"/>
      <color theme="1"/>
      <name val="Swis721 Cn BT"/>
      <family val="2"/>
    </font>
    <font>
      <b/>
      <sz val="8"/>
      <color theme="1"/>
      <name val="Calibri"/>
      <family val="2"/>
    </font>
    <font>
      <b/>
      <vertAlign val="subscript"/>
      <sz val="8"/>
      <color theme="1"/>
      <name val="Swis721 Cn BT"/>
      <family val="2"/>
    </font>
    <font>
      <b/>
      <sz val="20"/>
      <color theme="1"/>
      <name val="Swis721 Cn BT"/>
      <family val="2"/>
    </font>
    <font>
      <sz val="12"/>
      <color theme="1"/>
      <name val="Swis721 Cn BT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Swis721 Cn BT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  <xf numFmtId="0" fontId="2" fillId="0" borderId="0"/>
  </cellStyleXfs>
  <cellXfs count="658">
    <xf numFmtId="0" fontId="0" fillId="0" borderId="0" xfId="0"/>
    <xf numFmtId="0" fontId="20" fillId="0" borderId="0" xfId="0" applyFont="1"/>
    <xf numFmtId="0" fontId="21" fillId="0" borderId="6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25" borderId="25" xfId="0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/>
    </xf>
    <xf numFmtId="0" fontId="20" fillId="25" borderId="31" xfId="0" applyFont="1" applyFill="1" applyBorder="1" applyAlignment="1">
      <alignment horizontal="center" vertical="center"/>
    </xf>
    <xf numFmtId="0" fontId="20" fillId="25" borderId="57" xfId="0" applyFont="1" applyFill="1" applyBorder="1" applyAlignment="1">
      <alignment horizontal="center" vertical="center"/>
    </xf>
    <xf numFmtId="0" fontId="20" fillId="25" borderId="24" xfId="0" applyFont="1" applyFill="1" applyBorder="1" applyAlignment="1">
      <alignment horizontal="center" vertical="center"/>
    </xf>
    <xf numFmtId="0" fontId="20" fillId="25" borderId="12" xfId="0" applyFont="1" applyFill="1" applyBorder="1" applyAlignment="1">
      <alignment horizontal="center" vertical="center"/>
    </xf>
    <xf numFmtId="0" fontId="23" fillId="0" borderId="14" xfId="1" applyFont="1" applyFill="1" applyBorder="1" applyAlignment="1">
      <alignment horizontal="center"/>
    </xf>
    <xf numFmtId="0" fontId="20" fillId="25" borderId="14" xfId="0" applyFont="1" applyFill="1" applyBorder="1" applyAlignment="1">
      <alignment horizontal="center" vertical="center"/>
    </xf>
    <xf numFmtId="0" fontId="20" fillId="25" borderId="23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/>
    </xf>
    <xf numFmtId="0" fontId="23" fillId="0" borderId="20" xfId="1" applyFont="1" applyFill="1" applyBorder="1" applyAlignment="1">
      <alignment horizontal="center"/>
    </xf>
    <xf numFmtId="0" fontId="23" fillId="0" borderId="15" xfId="1" applyFont="1" applyFill="1" applyBorder="1" applyAlignment="1">
      <alignment horizontal="center"/>
    </xf>
    <xf numFmtId="0" fontId="20" fillId="25" borderId="15" xfId="0" applyFont="1" applyFill="1" applyBorder="1" applyAlignment="1">
      <alignment horizontal="center" vertical="center"/>
    </xf>
    <xf numFmtId="0" fontId="20" fillId="25" borderId="27" xfId="0" applyFont="1" applyFill="1" applyBorder="1" applyAlignment="1">
      <alignment horizontal="center" vertical="center"/>
    </xf>
    <xf numFmtId="0" fontId="20" fillId="25" borderId="19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23" xfId="0" applyNumberFormat="1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25" borderId="37" xfId="0" applyFont="1" applyFill="1" applyBorder="1" applyAlignment="1">
      <alignment horizontal="center" vertical="center"/>
    </xf>
    <xf numFmtId="9" fontId="20" fillId="25" borderId="24" xfId="0" applyNumberFormat="1" applyFont="1" applyFill="1" applyBorder="1" applyAlignment="1">
      <alignment horizontal="center" vertical="center"/>
    </xf>
    <xf numFmtId="9" fontId="20" fillId="25" borderId="11" xfId="0" applyNumberFormat="1" applyFont="1" applyFill="1" applyBorder="1" applyAlignment="1">
      <alignment horizontal="center" vertical="center"/>
    </xf>
    <xf numFmtId="9" fontId="20" fillId="25" borderId="12" xfId="0" applyNumberFormat="1" applyFont="1" applyFill="1" applyBorder="1" applyAlignment="1">
      <alignment horizontal="center" vertical="center"/>
    </xf>
    <xf numFmtId="0" fontId="21" fillId="27" borderId="38" xfId="0" applyFont="1" applyFill="1" applyBorder="1" applyAlignment="1">
      <alignment horizontal="center" vertical="center"/>
    </xf>
    <xf numFmtId="9" fontId="20" fillId="27" borderId="14" xfId="0" applyNumberFormat="1" applyFont="1" applyFill="1" applyBorder="1" applyAlignment="1">
      <alignment horizontal="center" vertical="center"/>
    </xf>
    <xf numFmtId="9" fontId="20" fillId="27" borderId="10" xfId="0" applyNumberFormat="1" applyFont="1" applyFill="1" applyBorder="1" applyAlignment="1">
      <alignment horizontal="center" vertical="center"/>
    </xf>
    <xf numFmtId="9" fontId="20" fillId="27" borderId="13" xfId="0" applyNumberFormat="1" applyFont="1" applyFill="1" applyBorder="1" applyAlignment="1">
      <alignment horizontal="center" vertical="center"/>
    </xf>
    <xf numFmtId="0" fontId="21" fillId="26" borderId="63" xfId="0" applyFont="1" applyFill="1" applyBorder="1" applyAlignment="1">
      <alignment horizontal="center" vertical="center"/>
    </xf>
    <xf numFmtId="9" fontId="20" fillId="26" borderId="15" xfId="0" applyNumberFormat="1" applyFont="1" applyFill="1" applyBorder="1" applyAlignment="1">
      <alignment horizontal="center" vertical="center"/>
    </xf>
    <xf numFmtId="9" fontId="20" fillId="26" borderId="16" xfId="0" applyNumberFormat="1" applyFont="1" applyFill="1" applyBorder="1" applyAlignment="1">
      <alignment horizontal="center" vertical="center"/>
    </xf>
    <xf numFmtId="9" fontId="20" fillId="26" borderId="19" xfId="0" applyNumberFormat="1" applyFont="1" applyFill="1" applyBorder="1" applyAlignment="1">
      <alignment horizontal="center" vertical="center"/>
    </xf>
    <xf numFmtId="0" fontId="24" fillId="0" borderId="0" xfId="43" applyFont="1" applyAlignment="1">
      <alignment horizontal="center" vertical="center"/>
    </xf>
    <xf numFmtId="0" fontId="25" fillId="0" borderId="25" xfId="43" applyFont="1" applyBorder="1" applyAlignment="1">
      <alignment horizontal="center" vertical="center"/>
    </xf>
    <xf numFmtId="0" fontId="25" fillId="0" borderId="36" xfId="43" applyFont="1" applyBorder="1" applyAlignment="1">
      <alignment horizontal="center" vertical="center"/>
    </xf>
    <xf numFmtId="0" fontId="24" fillId="0" borderId="37" xfId="43" applyFont="1" applyBorder="1" applyAlignment="1">
      <alignment horizontal="center" vertical="center"/>
    </xf>
    <xf numFmtId="9" fontId="24" fillId="0" borderId="67" xfId="43" applyNumberFormat="1" applyFont="1" applyBorder="1" applyAlignment="1">
      <alignment horizontal="center" vertical="center"/>
    </xf>
    <xf numFmtId="9" fontId="24" fillId="0" borderId="45" xfId="43" applyNumberFormat="1" applyFont="1" applyBorder="1" applyAlignment="1">
      <alignment horizontal="center" vertical="center"/>
    </xf>
    <xf numFmtId="0" fontId="24" fillId="0" borderId="38" xfId="43" applyFont="1" applyBorder="1" applyAlignment="1">
      <alignment horizontal="center" vertical="center"/>
    </xf>
    <xf numFmtId="9" fontId="24" fillId="0" borderId="68" xfId="43" applyNumberFormat="1" applyFont="1" applyBorder="1" applyAlignment="1">
      <alignment horizontal="center" vertical="center"/>
    </xf>
    <xf numFmtId="9" fontId="24" fillId="0" borderId="74" xfId="43" applyNumberFormat="1" applyFont="1" applyBorder="1" applyAlignment="1">
      <alignment horizontal="center" vertical="center"/>
    </xf>
    <xf numFmtId="9" fontId="24" fillId="0" borderId="69" xfId="43" applyNumberFormat="1" applyFont="1" applyBorder="1" applyAlignment="1">
      <alignment horizontal="center" vertical="center"/>
    </xf>
    <xf numFmtId="9" fontId="24" fillId="0" borderId="64" xfId="43" applyNumberFormat="1" applyFont="1" applyBorder="1" applyAlignment="1">
      <alignment horizontal="center" vertical="center"/>
    </xf>
    <xf numFmtId="9" fontId="25" fillId="0" borderId="39" xfId="43" applyNumberFormat="1" applyFont="1" applyBorder="1" applyAlignment="1">
      <alignment horizontal="center" vertical="center"/>
    </xf>
    <xf numFmtId="9" fontId="25" fillId="0" borderId="29" xfId="43" applyNumberFormat="1" applyFont="1" applyBorder="1" applyAlignment="1">
      <alignment horizontal="center" vertical="center"/>
    </xf>
    <xf numFmtId="0" fontId="25" fillId="27" borderId="36" xfId="43" applyFont="1" applyFill="1" applyBorder="1" applyAlignment="1">
      <alignment horizontal="center" vertical="center"/>
    </xf>
    <xf numFmtId="9" fontId="24" fillId="0" borderId="33" xfId="43" applyNumberFormat="1" applyFont="1" applyBorder="1" applyAlignment="1">
      <alignment horizontal="center" vertical="center"/>
    </xf>
    <xf numFmtId="9" fontId="24" fillId="0" borderId="25" xfId="43" applyNumberFormat="1" applyFont="1" applyBorder="1" applyAlignment="1">
      <alignment horizontal="center" vertical="center"/>
    </xf>
    <xf numFmtId="9" fontId="24" fillId="0" borderId="35" xfId="43" applyNumberFormat="1" applyFont="1" applyBorder="1" applyAlignment="1">
      <alignment horizontal="center" vertical="center"/>
    </xf>
    <xf numFmtId="9" fontId="25" fillId="0" borderId="50" xfId="43" applyNumberFormat="1" applyFont="1" applyBorder="1" applyAlignment="1">
      <alignment horizontal="center" vertical="center"/>
    </xf>
    <xf numFmtId="9" fontId="25" fillId="0" borderId="25" xfId="43" applyNumberFormat="1" applyFont="1" applyBorder="1" applyAlignment="1">
      <alignment horizontal="center" vertical="center"/>
    </xf>
    <xf numFmtId="9" fontId="24" fillId="0" borderId="24" xfId="43" applyNumberFormat="1" applyFont="1" applyBorder="1" applyAlignment="1">
      <alignment horizontal="center" vertical="center"/>
    </xf>
    <xf numFmtId="9" fontId="24" fillId="0" borderId="11" xfId="43" applyNumberFormat="1" applyFont="1" applyBorder="1" applyAlignment="1">
      <alignment horizontal="center" vertical="center"/>
    </xf>
    <xf numFmtId="9" fontId="24" fillId="0" borderId="12" xfId="43" applyNumberFormat="1" applyFont="1" applyBorder="1" applyAlignment="1">
      <alignment horizontal="center" vertical="center"/>
    </xf>
    <xf numFmtId="9" fontId="24" fillId="0" borderId="14" xfId="43" applyNumberFormat="1" applyFont="1" applyBorder="1" applyAlignment="1">
      <alignment horizontal="center" vertical="center"/>
    </xf>
    <xf numFmtId="9" fontId="24" fillId="0" borderId="10" xfId="43" applyNumberFormat="1" applyFont="1" applyBorder="1" applyAlignment="1">
      <alignment horizontal="center" vertical="center"/>
    </xf>
    <xf numFmtId="9" fontId="24" fillId="0" borderId="13" xfId="43" applyNumberFormat="1" applyFont="1" applyBorder="1" applyAlignment="1">
      <alignment horizontal="center" vertical="center"/>
    </xf>
    <xf numFmtId="9" fontId="24" fillId="0" borderId="15" xfId="43" applyNumberFormat="1" applyFont="1" applyBorder="1" applyAlignment="1">
      <alignment horizontal="center" vertical="center"/>
    </xf>
    <xf numFmtId="9" fontId="24" fillId="0" borderId="16" xfId="43" applyNumberFormat="1" applyFont="1" applyBorder="1" applyAlignment="1">
      <alignment horizontal="center" vertical="center"/>
    </xf>
    <xf numFmtId="9" fontId="24" fillId="0" borderId="19" xfId="43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31" xfId="1" applyFont="1" applyFill="1" applyBorder="1" applyAlignment="1">
      <alignment horizontal="center" vertical="center"/>
    </xf>
    <xf numFmtId="0" fontId="26" fillId="0" borderId="32" xfId="1" applyFont="1" applyFill="1" applyBorder="1" applyAlignment="1">
      <alignment horizontal="center" vertical="center"/>
    </xf>
    <xf numFmtId="0" fontId="26" fillId="0" borderId="30" xfId="1" applyFont="1" applyFill="1" applyBorder="1" applyAlignment="1">
      <alignment horizontal="center" vertical="center"/>
    </xf>
    <xf numFmtId="1" fontId="26" fillId="0" borderId="31" xfId="1" applyNumberFormat="1" applyFont="1" applyFill="1" applyBorder="1" applyAlignment="1">
      <alignment horizontal="center" vertical="center"/>
    </xf>
    <xf numFmtId="1" fontId="26" fillId="0" borderId="32" xfId="1" applyNumberFormat="1" applyFont="1" applyFill="1" applyBorder="1" applyAlignment="1">
      <alignment horizontal="center" vertical="center"/>
    </xf>
    <xf numFmtId="1" fontId="26" fillId="0" borderId="30" xfId="1" applyNumberFormat="1" applyFont="1" applyFill="1" applyBorder="1" applyAlignment="1">
      <alignment horizontal="center" vertical="center"/>
    </xf>
    <xf numFmtId="1" fontId="26" fillId="0" borderId="57" xfId="1" applyNumberFormat="1" applyFont="1" applyFill="1" applyBorder="1" applyAlignment="1">
      <alignment horizontal="center" vertical="center"/>
    </xf>
    <xf numFmtId="1" fontId="26" fillId="0" borderId="24" xfId="1" applyNumberFormat="1" applyFont="1" applyFill="1" applyBorder="1" applyAlignment="1">
      <alignment horizontal="center" vertical="center"/>
    </xf>
    <xf numFmtId="1" fontId="26" fillId="0" borderId="11" xfId="1" applyNumberFormat="1" applyFont="1" applyFill="1" applyBorder="1" applyAlignment="1">
      <alignment horizontal="center" vertical="center"/>
    </xf>
    <xf numFmtId="1" fontId="26" fillId="0" borderId="12" xfId="1" applyNumberFormat="1" applyFont="1" applyFill="1" applyBorder="1" applyAlignment="1">
      <alignment horizontal="center" vertical="center"/>
    </xf>
    <xf numFmtId="0" fontId="26" fillId="0" borderId="20" xfId="1" applyFont="1" applyFill="1" applyBorder="1" applyAlignment="1">
      <alignment horizontal="center" vertical="center"/>
    </xf>
    <xf numFmtId="0" fontId="26" fillId="0" borderId="21" xfId="1" applyFont="1" applyFill="1" applyBorder="1" applyAlignment="1">
      <alignment horizontal="center" vertical="center"/>
    </xf>
    <xf numFmtId="0" fontId="26" fillId="0" borderId="22" xfId="1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 vertical="center"/>
    </xf>
    <xf numFmtId="166" fontId="23" fillId="0" borderId="11" xfId="1" applyNumberFormat="1" applyFont="1" applyFill="1" applyBorder="1" applyAlignment="1">
      <alignment horizontal="center" vertical="center"/>
    </xf>
    <xf numFmtId="164" fontId="23" fillId="0" borderId="11" xfId="1" applyNumberFormat="1" applyFont="1" applyFill="1" applyBorder="1" applyAlignment="1">
      <alignment horizontal="center" vertical="center"/>
    </xf>
    <xf numFmtId="9" fontId="23" fillId="0" borderId="26" xfId="1" applyNumberFormat="1" applyFont="1" applyFill="1" applyBorder="1" applyAlignment="1">
      <alignment horizontal="center" vertical="center"/>
    </xf>
    <xf numFmtId="9" fontId="23" fillId="0" borderId="24" xfId="1" applyNumberFormat="1" applyFont="1" applyFill="1" applyBorder="1" applyAlignment="1">
      <alignment horizontal="center" vertical="center"/>
    </xf>
    <xf numFmtId="9" fontId="23" fillId="0" borderId="11" xfId="1" applyNumberFormat="1" applyFont="1" applyFill="1" applyBorder="1" applyAlignment="1">
      <alignment horizontal="center" vertical="center"/>
    </xf>
    <xf numFmtId="9" fontId="23" fillId="0" borderId="12" xfId="1" applyNumberFormat="1" applyFont="1" applyFill="1" applyBorder="1" applyAlignment="1">
      <alignment horizontal="center" vertical="center"/>
    </xf>
    <xf numFmtId="1" fontId="23" fillId="0" borderId="24" xfId="1" applyNumberFormat="1" applyFont="1" applyFill="1" applyBorder="1" applyAlignment="1">
      <alignment horizontal="center" vertical="center"/>
    </xf>
    <xf numFmtId="1" fontId="23" fillId="0" borderId="11" xfId="1" applyNumberFormat="1" applyFont="1" applyFill="1" applyBorder="1" applyAlignment="1">
      <alignment horizontal="center" vertical="center"/>
    </xf>
    <xf numFmtId="1" fontId="23" fillId="0" borderId="12" xfId="1" applyNumberFormat="1" applyFont="1" applyFill="1" applyBorder="1" applyAlignment="1">
      <alignment horizontal="center" vertical="center"/>
    </xf>
    <xf numFmtId="1" fontId="23" fillId="0" borderId="26" xfId="1" applyNumberFormat="1" applyFont="1" applyFill="1" applyBorder="1" applyAlignment="1">
      <alignment horizontal="center" vertical="center"/>
    </xf>
    <xf numFmtId="2" fontId="27" fillId="0" borderId="24" xfId="0" applyNumberFormat="1" applyFont="1" applyBorder="1" applyAlignment="1">
      <alignment horizontal="center" vertical="center"/>
    </xf>
    <xf numFmtId="2" fontId="27" fillId="0" borderId="11" xfId="0" applyNumberFormat="1" applyFont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 vertical="center"/>
    </xf>
    <xf numFmtId="2" fontId="27" fillId="0" borderId="41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23" fillId="0" borderId="14" xfId="1" applyFont="1" applyFill="1" applyBorder="1" applyAlignment="1">
      <alignment horizontal="center" vertical="center"/>
    </xf>
    <xf numFmtId="166" fontId="23" fillId="0" borderId="10" xfId="1" applyNumberFormat="1" applyFont="1" applyFill="1" applyBorder="1" applyAlignment="1">
      <alignment horizontal="center" vertical="center"/>
    </xf>
    <xf numFmtId="164" fontId="23" fillId="0" borderId="10" xfId="1" applyNumberFormat="1" applyFont="1" applyFill="1" applyBorder="1" applyAlignment="1">
      <alignment horizontal="center" vertical="center"/>
    </xf>
    <xf numFmtId="9" fontId="23" fillId="0" borderId="23" xfId="1" applyNumberFormat="1" applyFont="1" applyFill="1" applyBorder="1" applyAlignment="1">
      <alignment horizontal="center" vertical="center"/>
    </xf>
    <xf numFmtId="9" fontId="23" fillId="0" borderId="14" xfId="1" applyNumberFormat="1" applyFont="1" applyFill="1" applyBorder="1" applyAlignment="1">
      <alignment horizontal="center" vertical="center"/>
    </xf>
    <xf numFmtId="9" fontId="23" fillId="0" borderId="10" xfId="1" applyNumberFormat="1" applyFont="1" applyFill="1" applyBorder="1" applyAlignment="1">
      <alignment horizontal="center" vertical="center"/>
    </xf>
    <xf numFmtId="9" fontId="23" fillId="0" borderId="13" xfId="1" applyNumberFormat="1" applyFont="1" applyFill="1" applyBorder="1" applyAlignment="1">
      <alignment horizontal="center" vertical="center"/>
    </xf>
    <xf numFmtId="1" fontId="23" fillId="0" borderId="14" xfId="1" applyNumberFormat="1" applyFont="1" applyFill="1" applyBorder="1" applyAlignment="1">
      <alignment horizontal="center" vertical="center"/>
    </xf>
    <xf numFmtId="1" fontId="23" fillId="0" borderId="10" xfId="1" applyNumberFormat="1" applyFont="1" applyFill="1" applyBorder="1" applyAlignment="1">
      <alignment horizontal="center" vertical="center"/>
    </xf>
    <xf numFmtId="1" fontId="23" fillId="0" borderId="13" xfId="1" applyNumberFormat="1" applyFont="1" applyFill="1" applyBorder="1" applyAlignment="1">
      <alignment horizontal="center" vertical="center"/>
    </xf>
    <xf numFmtId="1" fontId="23" fillId="0" borderId="23" xfId="1" applyNumberFormat="1" applyFont="1" applyFill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 vertical="center"/>
    </xf>
    <xf numFmtId="2" fontId="27" fillId="0" borderId="28" xfId="0" applyNumberFormat="1" applyFont="1" applyBorder="1" applyAlignment="1">
      <alignment horizontal="center" vertical="center"/>
    </xf>
    <xf numFmtId="2" fontId="27" fillId="0" borderId="23" xfId="0" applyNumberFormat="1" applyFont="1" applyBorder="1" applyAlignment="1">
      <alignment horizontal="center" vertical="center"/>
    </xf>
    <xf numFmtId="0" fontId="23" fillId="0" borderId="20" xfId="1" applyFont="1" applyFill="1" applyBorder="1" applyAlignment="1">
      <alignment horizontal="center" vertical="center"/>
    </xf>
    <xf numFmtId="166" fontId="23" fillId="0" borderId="21" xfId="1" applyNumberFormat="1" applyFont="1" applyFill="1" applyBorder="1" applyAlignment="1">
      <alignment horizontal="center" vertical="center"/>
    </xf>
    <xf numFmtId="9" fontId="23" fillId="0" borderId="59" xfId="1" applyNumberFormat="1" applyFont="1" applyFill="1" applyBorder="1" applyAlignment="1">
      <alignment horizontal="center" vertical="center"/>
    </xf>
    <xf numFmtId="9" fontId="23" fillId="0" borderId="20" xfId="1" applyNumberFormat="1" applyFont="1" applyFill="1" applyBorder="1" applyAlignment="1">
      <alignment horizontal="center" vertical="center"/>
    </xf>
    <xf numFmtId="9" fontId="23" fillId="0" borderId="21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0" fontId="23" fillId="0" borderId="15" xfId="1" applyFont="1" applyFill="1" applyBorder="1" applyAlignment="1">
      <alignment horizontal="center" vertical="center"/>
    </xf>
    <xf numFmtId="166" fontId="23" fillId="0" borderId="16" xfId="1" applyNumberFormat="1" applyFont="1" applyFill="1" applyBorder="1" applyAlignment="1">
      <alignment horizontal="center" vertical="center"/>
    </xf>
    <xf numFmtId="9" fontId="23" fillId="0" borderId="27" xfId="1" applyNumberFormat="1" applyFont="1" applyFill="1" applyBorder="1" applyAlignment="1">
      <alignment horizontal="center" vertical="center"/>
    </xf>
    <xf numFmtId="9" fontId="23" fillId="0" borderId="15" xfId="1" applyNumberFormat="1" applyFont="1" applyFill="1" applyBorder="1" applyAlignment="1">
      <alignment horizontal="center" vertical="center"/>
    </xf>
    <xf numFmtId="9" fontId="23" fillId="0" borderId="16" xfId="1" applyNumberFormat="1" applyFont="1" applyFill="1" applyBorder="1" applyAlignment="1">
      <alignment horizontal="center" vertical="center"/>
    </xf>
    <xf numFmtId="9" fontId="23" fillId="0" borderId="19" xfId="1" applyNumberFormat="1" applyFont="1" applyFill="1" applyBorder="1" applyAlignment="1">
      <alignment horizontal="center" vertical="center"/>
    </xf>
    <xf numFmtId="1" fontId="23" fillId="0" borderId="15" xfId="1" applyNumberFormat="1" applyFont="1" applyFill="1" applyBorder="1" applyAlignment="1">
      <alignment horizontal="center" vertical="center"/>
    </xf>
    <xf numFmtId="1" fontId="23" fillId="0" borderId="16" xfId="1" applyNumberFormat="1" applyFont="1" applyFill="1" applyBorder="1" applyAlignment="1">
      <alignment horizontal="center" vertical="center"/>
    </xf>
    <xf numFmtId="1" fontId="23" fillId="0" borderId="19" xfId="1" applyNumberFormat="1" applyFont="1" applyFill="1" applyBorder="1" applyAlignment="1">
      <alignment horizontal="center" vertical="center"/>
    </xf>
    <xf numFmtId="1" fontId="23" fillId="0" borderId="27" xfId="1" applyNumberFormat="1" applyFont="1" applyFill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2" fontId="27" fillId="0" borderId="42" xfId="0" applyNumberFormat="1" applyFon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166" fontId="23" fillId="0" borderId="0" xfId="1" applyNumberFormat="1" applyFont="1" applyFill="1" applyBorder="1" applyAlignment="1">
      <alignment horizontal="center" vertical="center"/>
    </xf>
    <xf numFmtId="2" fontId="23" fillId="0" borderId="29" xfId="1" applyNumberFormat="1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" fontId="23" fillId="0" borderId="0" xfId="1" applyNumberFormat="1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26" fillId="0" borderId="50" xfId="1" applyFont="1" applyFill="1" applyBorder="1" applyAlignment="1">
      <alignment horizontal="center" vertical="center"/>
    </xf>
    <xf numFmtId="0" fontId="26" fillId="0" borderId="51" xfId="1" applyFont="1" applyFill="1" applyBorder="1" applyAlignment="1">
      <alignment horizontal="center" vertical="center"/>
    </xf>
    <xf numFmtId="0" fontId="26" fillId="0" borderId="52" xfId="1" applyFont="1" applyFill="1" applyBorder="1" applyAlignment="1">
      <alignment horizontal="center" vertical="center"/>
    </xf>
    <xf numFmtId="1" fontId="26" fillId="0" borderId="50" xfId="1" applyNumberFormat="1" applyFont="1" applyFill="1" applyBorder="1" applyAlignment="1">
      <alignment horizontal="center" vertical="center"/>
    </xf>
    <xf numFmtId="1" fontId="26" fillId="0" borderId="51" xfId="1" applyNumberFormat="1" applyFont="1" applyFill="1" applyBorder="1" applyAlignment="1">
      <alignment horizontal="center" vertical="center"/>
    </xf>
    <xf numFmtId="1" fontId="26" fillId="0" borderId="73" xfId="1" applyNumberFormat="1" applyFont="1" applyFill="1" applyBorder="1" applyAlignment="1">
      <alignment horizontal="center" vertical="center"/>
    </xf>
    <xf numFmtId="1" fontId="26" fillId="0" borderId="52" xfId="1" applyNumberFormat="1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/>
    </xf>
    <xf numFmtId="2" fontId="23" fillId="0" borderId="44" xfId="1" applyNumberFormat="1" applyFont="1" applyFill="1" applyBorder="1" applyAlignment="1">
      <alignment horizontal="center" vertical="center"/>
    </xf>
    <xf numFmtId="165" fontId="23" fillId="0" borderId="24" xfId="1" applyNumberFormat="1" applyFont="1" applyFill="1" applyBorder="1" applyAlignment="1">
      <alignment horizontal="center" vertical="center"/>
    </xf>
    <xf numFmtId="165" fontId="23" fillId="0" borderId="11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2" fontId="23" fillId="0" borderId="10" xfId="1" applyNumberFormat="1" applyFont="1" applyFill="1" applyBorder="1" applyAlignment="1">
      <alignment horizontal="center" vertical="center"/>
    </xf>
    <xf numFmtId="165" fontId="23" fillId="0" borderId="14" xfId="1" applyNumberFormat="1" applyFont="1" applyFill="1" applyBorder="1" applyAlignment="1">
      <alignment horizontal="center" vertical="center"/>
    </xf>
    <xf numFmtId="165" fontId="23" fillId="0" borderId="10" xfId="1" applyNumberFormat="1" applyFont="1" applyFill="1" applyBorder="1" applyAlignment="1">
      <alignment horizontal="center" vertical="center"/>
    </xf>
    <xf numFmtId="165" fontId="23" fillId="0" borderId="23" xfId="1" applyNumberFormat="1" applyFont="1" applyFill="1" applyBorder="1" applyAlignment="1">
      <alignment horizontal="center" vertical="center"/>
    </xf>
    <xf numFmtId="2" fontId="23" fillId="0" borderId="54" xfId="1" applyNumberFormat="1" applyFont="1" applyFill="1" applyBorder="1" applyAlignment="1">
      <alignment horizontal="center" vertical="center"/>
    </xf>
    <xf numFmtId="2" fontId="23" fillId="0" borderId="40" xfId="1" applyNumberFormat="1" applyFont="1" applyFill="1" applyBorder="1" applyAlignment="1">
      <alignment horizontal="center" vertical="center"/>
    </xf>
    <xf numFmtId="2" fontId="23" fillId="0" borderId="25" xfId="1" applyNumberFormat="1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2" fontId="27" fillId="24" borderId="50" xfId="0" applyNumberFormat="1" applyFont="1" applyFill="1" applyBorder="1" applyAlignment="1">
      <alignment horizontal="center" vertical="center"/>
    </xf>
    <xf numFmtId="2" fontId="27" fillId="24" borderId="51" xfId="0" applyNumberFormat="1" applyFont="1" applyFill="1" applyBorder="1" applyAlignment="1">
      <alignment horizontal="center" vertical="center"/>
    </xf>
    <xf numFmtId="2" fontId="27" fillId="24" borderId="52" xfId="0" applyNumberFormat="1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4" fontId="28" fillId="25" borderId="50" xfId="0" applyNumberFormat="1" applyFont="1" applyFill="1" applyBorder="1" applyAlignment="1">
      <alignment horizontal="center" vertical="center"/>
    </xf>
    <xf numFmtId="164" fontId="28" fillId="25" borderId="51" xfId="0" applyNumberFormat="1" applyFont="1" applyFill="1" applyBorder="1" applyAlignment="1">
      <alignment horizontal="center" vertical="center"/>
    </xf>
    <xf numFmtId="164" fontId="28" fillId="25" borderId="52" xfId="0" applyNumberFormat="1" applyFont="1" applyFill="1" applyBorder="1" applyAlignment="1">
      <alignment horizontal="center" vertical="center"/>
    </xf>
    <xf numFmtId="164" fontId="28" fillId="27" borderId="50" xfId="0" applyNumberFormat="1" applyFont="1" applyFill="1" applyBorder="1" applyAlignment="1">
      <alignment horizontal="center" vertical="center"/>
    </xf>
    <xf numFmtId="164" fontId="28" fillId="27" borderId="51" xfId="0" applyNumberFormat="1" applyFont="1" applyFill="1" applyBorder="1" applyAlignment="1">
      <alignment horizontal="center" vertical="center"/>
    </xf>
    <xf numFmtId="164" fontId="28" fillId="27" borderId="52" xfId="0" applyNumberFormat="1" applyFont="1" applyFill="1" applyBorder="1" applyAlignment="1">
      <alignment horizontal="center" vertical="center"/>
    </xf>
    <xf numFmtId="164" fontId="28" fillId="26" borderId="50" xfId="0" applyNumberFormat="1" applyFont="1" applyFill="1" applyBorder="1" applyAlignment="1">
      <alignment horizontal="center" vertical="center"/>
    </xf>
    <xf numFmtId="164" fontId="28" fillId="26" borderId="51" xfId="0" applyNumberFormat="1" applyFont="1" applyFill="1" applyBorder="1" applyAlignment="1">
      <alignment horizontal="center" vertical="center"/>
    </xf>
    <xf numFmtId="164" fontId="28" fillId="26" borderId="52" xfId="0" applyNumberFormat="1" applyFont="1" applyFill="1" applyBorder="1" applyAlignment="1">
      <alignment horizontal="center" vertical="center"/>
    </xf>
    <xf numFmtId="164" fontId="27" fillId="0" borderId="24" xfId="0" applyNumberFormat="1" applyFont="1" applyBorder="1" applyAlignment="1">
      <alignment horizontal="center" vertical="center"/>
    </xf>
    <xf numFmtId="164" fontId="27" fillId="0" borderId="11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164" fontId="27" fillId="0" borderId="2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66" fontId="23" fillId="0" borderId="32" xfId="1" applyNumberFormat="1" applyFont="1" applyFill="1" applyBorder="1" applyAlignment="1">
      <alignment horizontal="center" vertical="center"/>
    </xf>
    <xf numFmtId="2" fontId="27" fillId="0" borderId="45" xfId="0" applyNumberFormat="1" applyFont="1" applyBorder="1" applyAlignment="1">
      <alignment horizontal="center" vertical="center"/>
    </xf>
    <xf numFmtId="2" fontId="27" fillId="0" borderId="67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2" fontId="27" fillId="0" borderId="74" xfId="0" applyNumberFormat="1" applyFont="1" applyBorder="1" applyAlignment="1">
      <alignment horizontal="center" vertical="center"/>
    </xf>
    <xf numFmtId="2" fontId="27" fillId="0" borderId="68" xfId="0" applyNumberFormat="1" applyFont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9" fontId="23" fillId="0" borderId="57" xfId="1" applyNumberFormat="1" applyFont="1" applyFill="1" applyBorder="1" applyAlignment="1">
      <alignment horizontal="center" vertical="center"/>
    </xf>
    <xf numFmtId="2" fontId="23" fillId="0" borderId="16" xfId="1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Font="1" applyFill="1"/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1" fontId="28" fillId="25" borderId="50" xfId="0" applyNumberFormat="1" applyFont="1" applyFill="1" applyBorder="1" applyAlignment="1">
      <alignment horizontal="center" vertical="center"/>
    </xf>
    <xf numFmtId="1" fontId="28" fillId="25" borderId="51" xfId="0" applyNumberFormat="1" applyFont="1" applyFill="1" applyBorder="1" applyAlignment="1">
      <alignment horizontal="center" vertical="center"/>
    </xf>
    <xf numFmtId="1" fontId="28" fillId="25" borderId="52" xfId="0" applyNumberFormat="1" applyFont="1" applyFill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2" fontId="20" fillId="0" borderId="74" xfId="0" applyNumberFormat="1" applyFont="1" applyBorder="1" applyAlignment="1">
      <alignment horizontal="center" vertical="center"/>
    </xf>
    <xf numFmtId="2" fontId="20" fillId="0" borderId="64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9" fontId="24" fillId="0" borderId="0" xfId="43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32" fillId="0" borderId="67" xfId="0" applyFont="1" applyFill="1" applyBorder="1"/>
    <xf numFmtId="0" fontId="32" fillId="0" borderId="68" xfId="0" applyFont="1" applyFill="1" applyBorder="1"/>
    <xf numFmtId="0" fontId="24" fillId="0" borderId="68" xfId="0" applyFont="1" applyFill="1" applyBorder="1"/>
    <xf numFmtId="0" fontId="32" fillId="0" borderId="69" xfId="0" applyFont="1" applyFill="1" applyBorder="1"/>
    <xf numFmtId="0" fontId="32" fillId="0" borderId="70" xfId="0" applyFont="1" applyFill="1" applyBorder="1"/>
    <xf numFmtId="0" fontId="32" fillId="0" borderId="53" xfId="0" applyFont="1" applyFill="1" applyBorder="1" applyAlignment="1">
      <alignment horizontal="center"/>
    </xf>
    <xf numFmtId="164" fontId="32" fillId="0" borderId="45" xfId="0" applyNumberFormat="1" applyFont="1" applyFill="1" applyBorder="1" applyAlignment="1">
      <alignment horizontal="center"/>
    </xf>
    <xf numFmtId="0" fontId="32" fillId="0" borderId="75" xfId="0" applyFont="1" applyFill="1" applyBorder="1" applyAlignment="1">
      <alignment horizontal="center"/>
    </xf>
    <xf numFmtId="9" fontId="32" fillId="0" borderId="74" xfId="0" applyNumberFormat="1" applyFont="1" applyFill="1" applyBorder="1" applyAlignment="1">
      <alignment horizontal="center"/>
    </xf>
    <xf numFmtId="164" fontId="32" fillId="0" borderId="74" xfId="0" applyNumberFormat="1" applyFont="1" applyFill="1" applyBorder="1" applyAlignment="1">
      <alignment horizontal="center"/>
    </xf>
    <xf numFmtId="0" fontId="32" fillId="0" borderId="61" xfId="0" applyFont="1" applyFill="1" applyBorder="1" applyAlignment="1">
      <alignment horizontal="center"/>
    </xf>
    <xf numFmtId="1" fontId="32" fillId="0" borderId="64" xfId="0" applyNumberFormat="1" applyFont="1" applyFill="1" applyBorder="1" applyAlignment="1">
      <alignment horizontal="center"/>
    </xf>
    <xf numFmtId="164" fontId="33" fillId="25" borderId="36" xfId="0" applyNumberFormat="1" applyFont="1" applyFill="1" applyBorder="1" applyAlignment="1">
      <alignment horizontal="center" vertical="center"/>
    </xf>
    <xf numFmtId="164" fontId="33" fillId="25" borderId="33" xfId="0" applyNumberFormat="1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/>
    </xf>
    <xf numFmtId="164" fontId="33" fillId="25" borderId="76" xfId="0" applyNumberFormat="1" applyFont="1" applyFill="1" applyBorder="1" applyAlignment="1">
      <alignment horizontal="center" vertical="center"/>
    </xf>
    <xf numFmtId="164" fontId="33" fillId="25" borderId="25" xfId="0" applyNumberFormat="1" applyFont="1" applyFill="1" applyBorder="1" applyAlignment="1">
      <alignment horizontal="center" vertical="center"/>
    </xf>
    <xf numFmtId="164" fontId="32" fillId="0" borderId="67" xfId="0" applyNumberFormat="1" applyFont="1" applyFill="1" applyBorder="1" applyAlignment="1">
      <alignment horizontal="center"/>
    </xf>
    <xf numFmtId="164" fontId="32" fillId="0" borderId="68" xfId="0" applyNumberFormat="1" applyFont="1" applyFill="1" applyBorder="1" applyAlignment="1">
      <alignment horizontal="center"/>
    </xf>
    <xf numFmtId="164" fontId="32" fillId="0" borderId="70" xfId="0" applyNumberFormat="1" applyFont="1" applyFill="1" applyBorder="1" applyAlignment="1">
      <alignment horizontal="center"/>
    </xf>
    <xf numFmtId="9" fontId="32" fillId="0" borderId="68" xfId="0" applyNumberFormat="1" applyFont="1" applyFill="1" applyBorder="1" applyAlignment="1">
      <alignment horizontal="center"/>
    </xf>
    <xf numFmtId="1" fontId="32" fillId="0" borderId="69" xfId="0" applyNumberFormat="1" applyFont="1" applyFill="1" applyBorder="1" applyAlignment="1">
      <alignment horizontal="center"/>
    </xf>
    <xf numFmtId="164" fontId="32" fillId="0" borderId="66" xfId="0" applyNumberFormat="1" applyFont="1" applyFill="1" applyBorder="1" applyAlignment="1">
      <alignment horizontal="center"/>
    </xf>
    <xf numFmtId="0" fontId="25" fillId="27" borderId="36" xfId="0" applyFont="1" applyFill="1" applyBorder="1" applyAlignment="1">
      <alignment horizontal="center" vertical="center" wrapText="1"/>
    </xf>
    <xf numFmtId="0" fontId="25" fillId="26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27" fillId="25" borderId="50" xfId="0" applyNumberFormat="1" applyFont="1" applyFill="1" applyBorder="1" applyAlignment="1">
      <alignment horizontal="center" vertical="center"/>
    </xf>
    <xf numFmtId="164" fontId="27" fillId="25" borderId="51" xfId="0" applyNumberFormat="1" applyFont="1" applyFill="1" applyBorder="1" applyAlignment="1">
      <alignment horizontal="center" vertical="center"/>
    </xf>
    <xf numFmtId="164" fontId="27" fillId="25" borderId="52" xfId="0" applyNumberFormat="1" applyFont="1" applyFill="1" applyBorder="1" applyAlignment="1">
      <alignment horizontal="center" vertical="center"/>
    </xf>
    <xf numFmtId="164" fontId="27" fillId="27" borderId="50" xfId="0" applyNumberFormat="1" applyFont="1" applyFill="1" applyBorder="1" applyAlignment="1">
      <alignment horizontal="center" vertical="center"/>
    </xf>
    <xf numFmtId="164" fontId="27" fillId="27" borderId="51" xfId="0" applyNumberFormat="1" applyFont="1" applyFill="1" applyBorder="1" applyAlignment="1">
      <alignment horizontal="center" vertical="center"/>
    </xf>
    <xf numFmtId="164" fontId="27" fillId="27" borderId="52" xfId="0" applyNumberFormat="1" applyFont="1" applyFill="1" applyBorder="1" applyAlignment="1">
      <alignment horizontal="center" vertical="center"/>
    </xf>
    <xf numFmtId="164" fontId="27" fillId="26" borderId="50" xfId="0" applyNumberFormat="1" applyFont="1" applyFill="1" applyBorder="1" applyAlignment="1">
      <alignment horizontal="center" vertical="center"/>
    </xf>
    <xf numFmtId="164" fontId="27" fillId="26" borderId="51" xfId="0" applyNumberFormat="1" applyFont="1" applyFill="1" applyBorder="1" applyAlignment="1">
      <alignment horizontal="center" vertical="center"/>
    </xf>
    <xf numFmtId="164" fontId="27" fillId="26" borderId="52" xfId="0" applyNumberFormat="1" applyFont="1" applyFill="1" applyBorder="1" applyAlignment="1">
      <alignment horizontal="center" vertical="center"/>
    </xf>
    <xf numFmtId="2" fontId="27" fillId="0" borderId="37" xfId="0" applyNumberFormat="1" applyFont="1" applyBorder="1" applyAlignment="1">
      <alignment horizontal="center" vertical="center"/>
    </xf>
    <xf numFmtId="2" fontId="27" fillId="0" borderId="38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25" borderId="24" xfId="0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7" fillId="25" borderId="31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8" fillId="25" borderId="50" xfId="0" applyFont="1" applyFill="1" applyBorder="1" applyAlignment="1">
      <alignment horizontal="center" vertical="center"/>
    </xf>
    <xf numFmtId="0" fontId="27" fillId="26" borderId="21" xfId="0" applyFont="1" applyFill="1" applyBorder="1" applyAlignment="1">
      <alignment horizontal="center" vertical="center"/>
    </xf>
    <xf numFmtId="0" fontId="28" fillId="27" borderId="11" xfId="0" applyFont="1" applyFill="1" applyBorder="1" applyAlignment="1">
      <alignment horizontal="center" vertical="center"/>
    </xf>
    <xf numFmtId="0" fontId="28" fillId="27" borderId="16" xfId="0" applyFont="1" applyFill="1" applyBorder="1" applyAlignment="1">
      <alignment horizontal="center" vertical="center"/>
    </xf>
    <xf numFmtId="0" fontId="27" fillId="27" borderId="32" xfId="0" applyFont="1" applyFill="1" applyBorder="1" applyAlignment="1">
      <alignment horizontal="center" vertical="center"/>
    </xf>
    <xf numFmtId="0" fontId="27" fillId="27" borderId="1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28" fillId="27" borderId="51" xfId="0" applyFont="1" applyFill="1" applyBorder="1" applyAlignment="1">
      <alignment horizontal="center"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9" xfId="0" applyFont="1" applyFill="1" applyBorder="1" applyAlignment="1">
      <alignment horizontal="center" vertical="center"/>
    </xf>
    <xf numFmtId="0" fontId="27" fillId="26" borderId="30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22" xfId="0" applyFont="1" applyFill="1" applyBorder="1" applyAlignment="1">
      <alignment horizontal="center" vertical="center"/>
    </xf>
    <xf numFmtId="0" fontId="28" fillId="26" borderId="52" xfId="0" applyFont="1" applyFill="1" applyBorder="1" applyAlignment="1">
      <alignment horizontal="center" vertical="center"/>
    </xf>
    <xf numFmtId="0" fontId="27" fillId="25" borderId="21" xfId="0" applyFont="1" applyFill="1" applyBorder="1" applyAlignment="1">
      <alignment horizontal="center" vertical="center"/>
    </xf>
    <xf numFmtId="0" fontId="27" fillId="25" borderId="22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/>
    </xf>
    <xf numFmtId="0" fontId="27" fillId="27" borderId="22" xfId="0" applyFont="1" applyFill="1" applyBorder="1" applyAlignment="1">
      <alignment horizontal="center" vertical="center"/>
    </xf>
    <xf numFmtId="2" fontId="27" fillId="0" borderId="28" xfId="0" applyNumberFormat="1" applyFont="1" applyFill="1" applyBorder="1" applyAlignment="1">
      <alignment horizontal="center" vertical="center"/>
    </xf>
    <xf numFmtId="0" fontId="26" fillId="0" borderId="24" xfId="1" applyFont="1" applyFill="1" applyBorder="1" applyAlignment="1">
      <alignment horizontal="center" vertical="center" wrapText="1"/>
    </xf>
    <xf numFmtId="166" fontId="26" fillId="0" borderId="11" xfId="1" applyNumberFormat="1" applyFont="1" applyFill="1" applyBorder="1" applyAlignment="1">
      <alignment horizontal="center" vertical="center"/>
    </xf>
    <xf numFmtId="2" fontId="26" fillId="0" borderId="11" xfId="1" applyNumberFormat="1" applyFont="1" applyFill="1" applyBorder="1" applyAlignment="1">
      <alignment horizontal="center" vertical="center"/>
    </xf>
    <xf numFmtId="0" fontId="26" fillId="0" borderId="11" xfId="1" applyFont="1" applyFill="1" applyBorder="1" applyAlignment="1">
      <alignment horizontal="center" vertical="center" wrapText="1"/>
    </xf>
    <xf numFmtId="2" fontId="28" fillId="25" borderId="42" xfId="0" applyNumberFormat="1" applyFont="1" applyFill="1" applyBorder="1" applyAlignment="1">
      <alignment horizontal="center" vertical="center"/>
    </xf>
    <xf numFmtId="2" fontId="28" fillId="27" borderId="42" xfId="0" applyNumberFormat="1" applyFont="1" applyFill="1" applyBorder="1" applyAlignment="1">
      <alignment horizontal="center" vertical="center"/>
    </xf>
    <xf numFmtId="2" fontId="27" fillId="0" borderId="64" xfId="0" applyNumberFormat="1" applyFont="1" applyBorder="1" applyAlignment="1">
      <alignment horizontal="center" vertical="center"/>
    </xf>
    <xf numFmtId="2" fontId="28" fillId="26" borderId="42" xfId="0" applyNumberFormat="1" applyFont="1" applyFill="1" applyBorder="1" applyAlignment="1">
      <alignment horizontal="center" vertical="center"/>
    </xf>
    <xf numFmtId="2" fontId="28" fillId="26" borderId="39" xfId="0" applyNumberFormat="1" applyFont="1" applyFill="1" applyBorder="1" applyAlignment="1">
      <alignment horizontal="center" vertical="center"/>
    </xf>
    <xf numFmtId="2" fontId="28" fillId="25" borderId="40" xfId="0" applyNumberFormat="1" applyFont="1" applyFill="1" applyBorder="1" applyAlignment="1">
      <alignment horizontal="center" vertical="center"/>
    </xf>
    <xf numFmtId="2" fontId="28" fillId="0" borderId="79" xfId="0" applyNumberFormat="1" applyFont="1" applyFill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 vertical="center"/>
    </xf>
    <xf numFmtId="2" fontId="27" fillId="0" borderId="75" xfId="0" applyNumberFormat="1" applyFont="1" applyBorder="1" applyAlignment="1">
      <alignment horizontal="center" vertical="center"/>
    </xf>
    <xf numFmtId="0" fontId="27" fillId="0" borderId="68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2" fontId="28" fillId="24" borderId="69" xfId="0" applyNumberFormat="1" applyFont="1" applyFill="1" applyBorder="1" applyAlignment="1">
      <alignment horizontal="center" vertical="center"/>
    </xf>
    <xf numFmtId="1" fontId="23" fillId="0" borderId="22" xfId="1" applyNumberFormat="1" applyFont="1" applyFill="1" applyBorder="1" applyAlignment="1">
      <alignment horizontal="center" vertical="center"/>
    </xf>
    <xf numFmtId="2" fontId="23" fillId="0" borderId="11" xfId="1" applyNumberFormat="1" applyFont="1" applyFill="1" applyBorder="1" applyAlignment="1">
      <alignment horizontal="center" vertical="center"/>
    </xf>
    <xf numFmtId="1" fontId="23" fillId="0" borderId="77" xfId="1" applyNumberFormat="1" applyFont="1" applyFill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8" fillId="0" borderId="24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28" fillId="0" borderId="24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1" fontId="26" fillId="0" borderId="25" xfId="1" applyNumberFormat="1" applyFont="1" applyFill="1" applyBorder="1" applyAlignment="1">
      <alignment horizontal="center" vertical="center"/>
    </xf>
    <xf numFmtId="2" fontId="27" fillId="0" borderId="44" xfId="0" applyNumberFormat="1" applyFont="1" applyBorder="1" applyAlignment="1">
      <alignment horizontal="center" vertical="center"/>
    </xf>
    <xf numFmtId="164" fontId="23" fillId="0" borderId="16" xfId="1" applyNumberFormat="1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32" fillId="0" borderId="0" xfId="0" applyFont="1" applyAlignment="1">
      <alignment horizontal="right"/>
    </xf>
    <xf numFmtId="2" fontId="32" fillId="0" borderId="0" xfId="0" applyNumberFormat="1" applyFont="1"/>
    <xf numFmtId="164" fontId="32" fillId="0" borderId="0" xfId="0" applyNumberFormat="1" applyFont="1"/>
    <xf numFmtId="0" fontId="32" fillId="0" borderId="68" xfId="0" applyFont="1" applyFill="1" applyBorder="1" applyAlignment="1">
      <alignment horizontal="center"/>
    </xf>
    <xf numFmtId="0" fontId="32" fillId="0" borderId="70" xfId="0" applyFont="1" applyFill="1" applyBorder="1" applyAlignment="1">
      <alignment horizontal="center"/>
    </xf>
    <xf numFmtId="0" fontId="32" fillId="0" borderId="67" xfId="0" applyFont="1" applyFill="1" applyBorder="1" applyAlignment="1">
      <alignment horizontal="center"/>
    </xf>
    <xf numFmtId="0" fontId="32" fillId="0" borderId="69" xfId="0" applyFont="1" applyFill="1" applyBorder="1" applyAlignment="1">
      <alignment horizontal="center"/>
    </xf>
    <xf numFmtId="0" fontId="25" fillId="27" borderId="67" xfId="0" applyFont="1" applyFill="1" applyBorder="1" applyAlignment="1">
      <alignment horizontal="center" vertical="center" wrapText="1"/>
    </xf>
    <xf numFmtId="0" fontId="25" fillId="27" borderId="45" xfId="0" applyFont="1" applyFill="1" applyBorder="1" applyAlignment="1">
      <alignment horizontal="center" vertical="center" wrapText="1"/>
    </xf>
    <xf numFmtId="0" fontId="25" fillId="26" borderId="67" xfId="0" applyFont="1" applyFill="1" applyBorder="1" applyAlignment="1">
      <alignment horizontal="center" vertical="center" wrapText="1"/>
    </xf>
    <xf numFmtId="0" fontId="23" fillId="0" borderId="24" xfId="1" applyFont="1" applyFill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3" fillId="0" borderId="0" xfId="0" applyFont="1"/>
    <xf numFmtId="164" fontId="32" fillId="28" borderId="68" xfId="0" applyNumberFormat="1" applyFont="1" applyFill="1" applyBorder="1" applyAlignment="1">
      <alignment horizontal="center"/>
    </xf>
    <xf numFmtId="164" fontId="32" fillId="28" borderId="74" xfId="0" applyNumberFormat="1" applyFont="1" applyFill="1" applyBorder="1" applyAlignment="1">
      <alignment horizontal="center"/>
    </xf>
    <xf numFmtId="0" fontId="37" fillId="0" borderId="0" xfId="0" applyFont="1"/>
    <xf numFmtId="10" fontId="37" fillId="0" borderId="0" xfId="0" applyNumberFormat="1" applyFont="1"/>
    <xf numFmtId="0" fontId="32" fillId="28" borderId="25" xfId="0" applyFont="1" applyFill="1" applyBorder="1"/>
    <xf numFmtId="164" fontId="32" fillId="0" borderId="0" xfId="0" applyNumberFormat="1" applyFont="1" applyFill="1" applyBorder="1" applyAlignment="1">
      <alignment horizontal="center"/>
    </xf>
    <xf numFmtId="9" fontId="32" fillId="0" borderId="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0" fontId="35" fillId="0" borderId="0" xfId="0" applyFont="1" applyFill="1" applyAlignment="1">
      <alignment horizontal="center"/>
    </xf>
    <xf numFmtId="164" fontId="33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23" fillId="0" borderId="12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19" xfId="1" applyFont="1" applyFill="1" applyBorder="1" applyAlignment="1">
      <alignment horizontal="center" vertical="center"/>
    </xf>
    <xf numFmtId="0" fontId="23" fillId="0" borderId="28" xfId="1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30" borderId="41" xfId="1" applyFont="1" applyFill="1" applyBorder="1" applyAlignment="1">
      <alignment horizontal="center" vertical="center"/>
    </xf>
    <xf numFmtId="0" fontId="23" fillId="30" borderId="13" xfId="1" applyFont="1" applyFill="1" applyBorder="1" applyAlignment="1">
      <alignment horizontal="center" vertical="center"/>
    </xf>
    <xf numFmtId="0" fontId="23" fillId="30" borderId="10" xfId="1" applyFont="1" applyFill="1" applyBorder="1" applyAlignment="1">
      <alignment horizontal="center" vertical="center"/>
    </xf>
    <xf numFmtId="0" fontId="23" fillId="30" borderId="28" xfId="1" applyFont="1" applyFill="1" applyBorder="1" applyAlignment="1">
      <alignment horizontal="center" vertical="center"/>
    </xf>
    <xf numFmtId="0" fontId="23" fillId="30" borderId="16" xfId="1" applyFont="1" applyFill="1" applyBorder="1" applyAlignment="1">
      <alignment horizontal="center" vertical="center"/>
    </xf>
    <xf numFmtId="0" fontId="0" fillId="29" borderId="0" xfId="0" applyFill="1"/>
    <xf numFmtId="0" fontId="33" fillId="29" borderId="0" xfId="0" applyFont="1" applyFill="1"/>
    <xf numFmtId="164" fontId="41" fillId="0" borderId="0" xfId="0" applyNumberFormat="1" applyFont="1" applyBorder="1" applyAlignment="1">
      <alignment horizontal="left" vertical="center"/>
    </xf>
    <xf numFmtId="2" fontId="27" fillId="24" borderId="25" xfId="0" applyNumberFormat="1" applyFont="1" applyFill="1" applyBorder="1" applyAlignment="1">
      <alignment horizontal="center" vertical="center"/>
    </xf>
    <xf numFmtId="1" fontId="28" fillId="25" borderId="25" xfId="0" applyNumberFormat="1" applyFont="1" applyFill="1" applyBorder="1" applyAlignment="1">
      <alignment horizontal="center" vertical="center"/>
    </xf>
    <xf numFmtId="0" fontId="27" fillId="0" borderId="67" xfId="0" applyFont="1" applyFill="1" applyBorder="1"/>
    <xf numFmtId="0" fontId="27" fillId="0" borderId="53" xfId="0" applyFont="1" applyFill="1" applyBorder="1" applyAlignment="1">
      <alignment horizontal="center"/>
    </xf>
    <xf numFmtId="164" fontId="27" fillId="0" borderId="67" xfId="0" applyNumberFormat="1" applyFont="1" applyFill="1" applyBorder="1" applyAlignment="1">
      <alignment horizontal="center"/>
    </xf>
    <xf numFmtId="0" fontId="27" fillId="0" borderId="68" xfId="0" applyFont="1" applyFill="1" applyBorder="1"/>
    <xf numFmtId="0" fontId="27" fillId="0" borderId="75" xfId="0" applyFont="1" applyFill="1" applyBorder="1" applyAlignment="1">
      <alignment horizontal="center"/>
    </xf>
    <xf numFmtId="164" fontId="27" fillId="0" borderId="68" xfId="0" applyNumberFormat="1" applyFont="1" applyFill="1" applyBorder="1" applyAlignment="1">
      <alignment horizontal="center"/>
    </xf>
    <xf numFmtId="0" fontId="23" fillId="0" borderId="68" xfId="0" applyFont="1" applyFill="1" applyBorder="1"/>
    <xf numFmtId="164" fontId="27" fillId="0" borderId="74" xfId="0" applyNumberFormat="1" applyFont="1" applyFill="1" applyBorder="1" applyAlignment="1">
      <alignment horizontal="center"/>
    </xf>
    <xf numFmtId="0" fontId="27" fillId="0" borderId="70" xfId="0" applyFont="1" applyFill="1" applyBorder="1"/>
    <xf numFmtId="0" fontId="27" fillId="0" borderId="60" xfId="0" applyFont="1" applyFill="1" applyBorder="1" applyAlignment="1">
      <alignment horizontal="center"/>
    </xf>
    <xf numFmtId="164" fontId="27" fillId="0" borderId="70" xfId="0" applyNumberFormat="1" applyFont="1" applyFill="1" applyBorder="1" applyAlignment="1">
      <alignment horizontal="center"/>
    </xf>
    <xf numFmtId="164" fontId="27" fillId="0" borderId="45" xfId="0" applyNumberFormat="1" applyFont="1" applyFill="1" applyBorder="1" applyAlignment="1">
      <alignment horizontal="center"/>
    </xf>
    <xf numFmtId="9" fontId="27" fillId="0" borderId="68" xfId="0" applyNumberFormat="1" applyFont="1" applyFill="1" applyBorder="1" applyAlignment="1">
      <alignment horizontal="center"/>
    </xf>
    <xf numFmtId="9" fontId="27" fillId="0" borderId="74" xfId="0" applyNumberFormat="1" applyFont="1" applyFill="1" applyBorder="1" applyAlignment="1">
      <alignment horizontal="center"/>
    </xf>
    <xf numFmtId="0" fontId="27" fillId="0" borderId="69" xfId="0" applyFont="1" applyFill="1" applyBorder="1"/>
    <xf numFmtId="0" fontId="27" fillId="0" borderId="61" xfId="0" applyFont="1" applyFill="1" applyBorder="1" applyAlignment="1">
      <alignment horizontal="center"/>
    </xf>
    <xf numFmtId="1" fontId="27" fillId="0" borderId="69" xfId="0" applyNumberFormat="1" applyFont="1" applyFill="1" applyBorder="1" applyAlignment="1">
      <alignment horizontal="center"/>
    </xf>
    <xf numFmtId="1" fontId="27" fillId="0" borderId="64" xfId="0" applyNumberFormat="1" applyFont="1" applyFill="1" applyBorder="1" applyAlignment="1">
      <alignment horizontal="center"/>
    </xf>
    <xf numFmtId="0" fontId="27" fillId="0" borderId="68" xfId="0" applyFont="1" applyFill="1" applyBorder="1" applyAlignment="1">
      <alignment horizontal="center"/>
    </xf>
    <xf numFmtId="0" fontId="27" fillId="0" borderId="70" xfId="0" applyFont="1" applyFill="1" applyBorder="1" applyAlignment="1">
      <alignment horizontal="center"/>
    </xf>
    <xf numFmtId="0" fontId="27" fillId="0" borderId="67" xfId="0" applyFont="1" applyFill="1" applyBorder="1" applyAlignment="1">
      <alignment horizontal="center"/>
    </xf>
    <xf numFmtId="0" fontId="27" fillId="0" borderId="69" xfId="0" applyFont="1" applyFill="1" applyBorder="1" applyAlignment="1">
      <alignment horizontal="center"/>
    </xf>
    <xf numFmtId="0" fontId="26" fillId="26" borderId="36" xfId="0" applyFont="1" applyFill="1" applyBorder="1" applyAlignment="1">
      <alignment horizontal="center" vertical="center" wrapText="1"/>
    </xf>
    <xf numFmtId="0" fontId="26" fillId="26" borderId="67" xfId="0" applyFont="1" applyFill="1" applyBorder="1" applyAlignment="1">
      <alignment horizontal="center" vertical="center" wrapText="1"/>
    </xf>
    <xf numFmtId="0" fontId="44" fillId="0" borderId="0" xfId="0" applyFont="1"/>
    <xf numFmtId="164" fontId="0" fillId="0" borderId="0" xfId="0" applyNumberFormat="1"/>
    <xf numFmtId="0" fontId="27" fillId="0" borderId="71" xfId="0" applyFont="1" applyFill="1" applyBorder="1"/>
    <xf numFmtId="0" fontId="27" fillId="0" borderId="71" xfId="0" applyFont="1" applyFill="1" applyBorder="1" applyAlignment="1">
      <alignment horizontal="center"/>
    </xf>
    <xf numFmtId="164" fontId="27" fillId="24" borderId="67" xfId="0" applyNumberFormat="1" applyFont="1" applyFill="1" applyBorder="1" applyAlignment="1">
      <alignment horizontal="center"/>
    </xf>
    <xf numFmtId="0" fontId="26" fillId="0" borderId="46" xfId="1" applyFont="1" applyFill="1" applyBorder="1" applyAlignment="1">
      <alignment horizontal="center" vertical="center"/>
    </xf>
    <xf numFmtId="0" fontId="26" fillId="0" borderId="33" xfId="1" applyFont="1" applyFill="1" applyBorder="1" applyAlignment="1">
      <alignment horizontal="center" vertical="center"/>
    </xf>
    <xf numFmtId="164" fontId="27" fillId="31" borderId="68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33" fillId="0" borderId="25" xfId="0" applyFont="1" applyBorder="1" applyAlignment="1">
      <alignment horizontal="center" vertical="center"/>
    </xf>
    <xf numFmtId="0" fontId="45" fillId="0" borderId="0" xfId="0" applyFont="1"/>
    <xf numFmtId="0" fontId="33" fillId="0" borderId="0" xfId="0" applyFont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/>
    </xf>
    <xf numFmtId="0" fontId="25" fillId="0" borderId="30" xfId="1" applyFont="1" applyFill="1" applyBorder="1" applyAlignment="1">
      <alignment horizontal="center" vertical="center"/>
    </xf>
    <xf numFmtId="1" fontId="25" fillId="0" borderId="11" xfId="1" applyNumberFormat="1" applyFont="1" applyFill="1" applyBorder="1" applyAlignment="1">
      <alignment horizontal="center" vertical="center"/>
    </xf>
    <xf numFmtId="0" fontId="25" fillId="0" borderId="50" xfId="1" applyFont="1" applyFill="1" applyBorder="1" applyAlignment="1">
      <alignment horizontal="center" vertical="center"/>
    </xf>
    <xf numFmtId="0" fontId="25" fillId="0" borderId="51" xfId="1" applyFont="1" applyFill="1" applyBorder="1" applyAlignment="1">
      <alignment horizontal="center" vertical="center"/>
    </xf>
    <xf numFmtId="0" fontId="25" fillId="0" borderId="52" xfId="1" applyFont="1" applyFill="1" applyBorder="1" applyAlignment="1">
      <alignment horizontal="center" vertical="center"/>
    </xf>
    <xf numFmtId="0" fontId="25" fillId="0" borderId="20" xfId="1" applyFont="1" applyFill="1" applyBorder="1" applyAlignment="1">
      <alignment horizontal="center" vertical="center"/>
    </xf>
    <xf numFmtId="0" fontId="25" fillId="0" borderId="21" xfId="1" applyFont="1" applyFill="1" applyBorder="1" applyAlignment="1">
      <alignment horizontal="center" vertical="center"/>
    </xf>
    <xf numFmtId="0" fontId="25" fillId="0" borderId="22" xfId="1" applyFont="1" applyFill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24" fillId="0" borderId="24" xfId="1" applyFont="1" applyFill="1" applyBorder="1" applyAlignment="1">
      <alignment horizontal="center" vertical="center"/>
    </xf>
    <xf numFmtId="166" fontId="24" fillId="0" borderId="11" xfId="1" applyNumberFormat="1" applyFont="1" applyFill="1" applyBorder="1" applyAlignment="1">
      <alignment horizontal="center" vertical="center"/>
    </xf>
    <xf numFmtId="164" fontId="24" fillId="0" borderId="11" xfId="1" applyNumberFormat="1" applyFont="1" applyFill="1" applyBorder="1" applyAlignment="1">
      <alignment horizontal="center" vertical="center"/>
    </xf>
    <xf numFmtId="9" fontId="24" fillId="0" borderId="12" xfId="1" applyNumberFormat="1" applyFont="1" applyFill="1" applyBorder="1" applyAlignment="1">
      <alignment horizontal="center" vertical="center"/>
    </xf>
    <xf numFmtId="9" fontId="24" fillId="0" borderId="24" xfId="1" applyNumberFormat="1" applyFont="1" applyFill="1" applyBorder="1" applyAlignment="1">
      <alignment horizontal="center" vertical="center"/>
    </xf>
    <xf numFmtId="9" fontId="24" fillId="0" borderId="11" xfId="1" applyNumberFormat="1" applyFont="1" applyFill="1" applyBorder="1" applyAlignment="1">
      <alignment horizontal="center" vertical="center"/>
    </xf>
    <xf numFmtId="2" fontId="32" fillId="0" borderId="26" xfId="0" applyNumberFormat="1" applyFont="1" applyBorder="1" applyAlignment="1">
      <alignment horizontal="center" vertical="center"/>
    </xf>
    <xf numFmtId="165" fontId="24" fillId="0" borderId="67" xfId="1" applyNumberFormat="1" applyFont="1" applyFill="1" applyBorder="1" applyAlignment="1">
      <alignment horizontal="center" vertical="center"/>
    </xf>
    <xf numFmtId="165" fontId="24" fillId="0" borderId="5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12" xfId="1" applyNumberFormat="1" applyFont="1" applyFill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/>
    </xf>
    <xf numFmtId="166" fontId="24" fillId="0" borderId="10" xfId="1" applyNumberFormat="1" applyFont="1" applyFill="1" applyBorder="1" applyAlignment="1">
      <alignment horizontal="center" vertical="center"/>
    </xf>
    <xf numFmtId="164" fontId="24" fillId="0" borderId="10" xfId="1" applyNumberFormat="1" applyFont="1" applyFill="1" applyBorder="1" applyAlignment="1">
      <alignment horizontal="center" vertical="center"/>
    </xf>
    <xf numFmtId="9" fontId="24" fillId="0" borderId="13" xfId="1" applyNumberFormat="1" applyFont="1" applyFill="1" applyBorder="1" applyAlignment="1">
      <alignment horizontal="center" vertical="center"/>
    </xf>
    <xf numFmtId="9" fontId="24" fillId="0" borderId="14" xfId="1" applyNumberFormat="1" applyFont="1" applyFill="1" applyBorder="1" applyAlignment="1">
      <alignment horizontal="center" vertical="center"/>
    </xf>
    <xf numFmtId="9" fontId="24" fillId="0" borderId="10" xfId="1" applyNumberFormat="1" applyFont="1" applyFill="1" applyBorder="1" applyAlignment="1">
      <alignment horizontal="center" vertical="center"/>
    </xf>
    <xf numFmtId="2" fontId="32" fillId="0" borderId="23" xfId="0" applyNumberFormat="1" applyFont="1" applyBorder="1" applyAlignment="1">
      <alignment horizontal="center" vertical="center"/>
    </xf>
    <xf numFmtId="165" fontId="24" fillId="0" borderId="68" xfId="1" applyNumberFormat="1" applyFont="1" applyFill="1" applyBorder="1" applyAlignment="1">
      <alignment horizontal="center" vertical="center"/>
    </xf>
    <xf numFmtId="165" fontId="24" fillId="0" borderId="75" xfId="1" applyNumberFormat="1" applyFont="1" applyFill="1" applyBorder="1" applyAlignment="1">
      <alignment horizontal="center" vertical="center"/>
    </xf>
    <xf numFmtId="164" fontId="24" fillId="0" borderId="14" xfId="1" applyNumberFormat="1" applyFont="1" applyFill="1" applyBorder="1" applyAlignment="1">
      <alignment horizontal="center" vertical="center"/>
    </xf>
    <xf numFmtId="164" fontId="24" fillId="0" borderId="13" xfId="1" applyNumberFormat="1" applyFont="1" applyFill="1" applyBorder="1" applyAlignment="1">
      <alignment horizontal="center" vertical="center"/>
    </xf>
    <xf numFmtId="164" fontId="24" fillId="0" borderId="20" xfId="1" applyNumberFormat="1" applyFont="1" applyFill="1" applyBorder="1" applyAlignment="1">
      <alignment horizontal="center" vertical="center"/>
    </xf>
    <xf numFmtId="164" fontId="24" fillId="0" borderId="21" xfId="1" applyNumberFormat="1" applyFont="1" applyFill="1" applyBorder="1" applyAlignment="1">
      <alignment horizontal="center" vertical="center"/>
    </xf>
    <xf numFmtId="164" fontId="24" fillId="0" borderId="22" xfId="1" applyNumberFormat="1" applyFont="1" applyFill="1" applyBorder="1" applyAlignment="1">
      <alignment horizontal="center" vertical="center"/>
    </xf>
    <xf numFmtId="164" fontId="24" fillId="31" borderId="50" xfId="1" applyNumberFormat="1" applyFont="1" applyFill="1" applyBorder="1" applyAlignment="1">
      <alignment horizontal="center" vertical="center"/>
    </xf>
    <xf numFmtId="164" fontId="24" fillId="31" borderId="51" xfId="1" applyNumberFormat="1" applyFont="1" applyFill="1" applyBorder="1" applyAlignment="1">
      <alignment horizontal="center" vertical="center"/>
    </xf>
    <xf numFmtId="164" fontId="24" fillId="31" borderId="52" xfId="1" applyNumberFormat="1" applyFont="1" applyFill="1" applyBorder="1" applyAlignment="1">
      <alignment horizontal="center" vertical="center"/>
    </xf>
    <xf numFmtId="164" fontId="24" fillId="0" borderId="31" xfId="1" applyNumberFormat="1" applyFont="1" applyFill="1" applyBorder="1" applyAlignment="1">
      <alignment horizontal="center" vertical="center"/>
    </xf>
    <xf numFmtId="164" fontId="24" fillId="0" borderId="32" xfId="1" applyNumberFormat="1" applyFont="1" applyFill="1" applyBorder="1" applyAlignment="1">
      <alignment horizontal="center" vertical="center"/>
    </xf>
    <xf numFmtId="164" fontId="24" fillId="0" borderId="30" xfId="1" applyNumberFormat="1" applyFont="1" applyFill="1" applyBorder="1" applyAlignment="1">
      <alignment horizontal="center" vertical="center"/>
    </xf>
    <xf numFmtId="0" fontId="24" fillId="0" borderId="20" xfId="1" applyFont="1" applyFill="1" applyBorder="1" applyAlignment="1">
      <alignment horizontal="center" vertical="center"/>
    </xf>
    <xf numFmtId="166" fontId="24" fillId="0" borderId="21" xfId="1" applyNumberFormat="1" applyFont="1" applyFill="1" applyBorder="1" applyAlignment="1">
      <alignment horizontal="center" vertical="center"/>
    </xf>
    <xf numFmtId="9" fontId="24" fillId="0" borderId="22" xfId="1" applyNumberFormat="1" applyFont="1" applyFill="1" applyBorder="1" applyAlignment="1">
      <alignment horizontal="center" vertical="center"/>
    </xf>
    <xf numFmtId="9" fontId="24" fillId="0" borderId="20" xfId="1" applyNumberFormat="1" applyFont="1" applyFill="1" applyBorder="1" applyAlignment="1">
      <alignment horizontal="center" vertical="center"/>
    </xf>
    <xf numFmtId="9" fontId="24" fillId="0" borderId="21" xfId="1" applyNumberFormat="1" applyFont="1" applyFill="1" applyBorder="1" applyAlignment="1">
      <alignment horizontal="center" vertical="center"/>
    </xf>
    <xf numFmtId="0" fontId="24" fillId="0" borderId="15" xfId="1" applyFont="1" applyFill="1" applyBorder="1" applyAlignment="1">
      <alignment horizontal="center" vertical="center"/>
    </xf>
    <xf numFmtId="166" fontId="24" fillId="0" borderId="16" xfId="1" applyNumberFormat="1" applyFont="1" applyFill="1" applyBorder="1" applyAlignment="1">
      <alignment horizontal="center" vertical="center"/>
    </xf>
    <xf numFmtId="164" fontId="24" fillId="0" borderId="16" xfId="1" applyNumberFormat="1" applyFont="1" applyFill="1" applyBorder="1" applyAlignment="1">
      <alignment horizontal="center" vertical="center"/>
    </xf>
    <xf numFmtId="9" fontId="24" fillId="0" borderId="19" xfId="1" applyNumberFormat="1" applyFont="1" applyFill="1" applyBorder="1" applyAlignment="1">
      <alignment horizontal="center" vertical="center"/>
    </xf>
    <xf numFmtId="9" fontId="24" fillId="0" borderId="15" xfId="1" applyNumberFormat="1" applyFont="1" applyFill="1" applyBorder="1" applyAlignment="1">
      <alignment horizontal="center" vertical="center"/>
    </xf>
    <xf numFmtId="9" fontId="24" fillId="0" borderId="16" xfId="1" applyNumberFormat="1" applyFont="1" applyFill="1" applyBorder="1" applyAlignment="1">
      <alignment horizontal="center" vertical="center"/>
    </xf>
    <xf numFmtId="2" fontId="32" fillId="0" borderId="27" xfId="0" applyNumberFormat="1" applyFont="1" applyBorder="1" applyAlignment="1">
      <alignment horizontal="center" vertical="center"/>
    </xf>
    <xf numFmtId="165" fontId="24" fillId="0" borderId="69" xfId="1" applyNumberFormat="1" applyFont="1" applyFill="1" applyBorder="1" applyAlignment="1">
      <alignment horizontal="center" vertical="center"/>
    </xf>
    <xf numFmtId="165" fontId="24" fillId="0" borderId="61" xfId="1" applyNumberFormat="1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horizontal="center" vertical="center"/>
    </xf>
    <xf numFmtId="164" fontId="24" fillId="0" borderId="19" xfId="1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166" fontId="24" fillId="0" borderId="0" xfId="1" applyNumberFormat="1" applyFont="1" applyFill="1" applyBorder="1" applyAlignment="1">
      <alignment horizontal="center" vertical="center"/>
    </xf>
    <xf numFmtId="2" fontId="24" fillId="0" borderId="29" xfId="1" applyNumberFormat="1" applyFont="1" applyFill="1" applyBorder="1" applyAlignment="1">
      <alignment horizontal="center" vertical="center"/>
    </xf>
    <xf numFmtId="164" fontId="25" fillId="27" borderId="15" xfId="1" applyNumberFormat="1" applyFont="1" applyFill="1" applyBorder="1" applyAlignment="1">
      <alignment horizontal="center" vertical="center"/>
    </xf>
    <xf numFmtId="164" fontId="25" fillId="25" borderId="15" xfId="1" applyNumberFormat="1" applyFont="1" applyFill="1" applyBorder="1" applyAlignment="1">
      <alignment horizontal="center" vertical="center"/>
    </xf>
    <xf numFmtId="164" fontId="25" fillId="26" borderId="25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26" fillId="0" borderId="43" xfId="1" applyFont="1" applyFill="1" applyBorder="1" applyAlignment="1">
      <alignment horizontal="center" vertical="center"/>
    </xf>
    <xf numFmtId="0" fontId="25" fillId="0" borderId="46" xfId="1" applyFont="1" applyFill="1" applyBorder="1" applyAlignment="1">
      <alignment horizontal="center" vertical="center"/>
    </xf>
    <xf numFmtId="0" fontId="25" fillId="0" borderId="73" xfId="1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/>
    </xf>
    <xf numFmtId="0" fontId="26" fillId="0" borderId="36" xfId="1" applyFont="1" applyFill="1" applyBorder="1" applyAlignment="1">
      <alignment horizontal="center" vertical="center"/>
    </xf>
    <xf numFmtId="0" fontId="25" fillId="0" borderId="25" xfId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/>
    </xf>
    <xf numFmtId="164" fontId="20" fillId="0" borderId="67" xfId="0" applyNumberFormat="1" applyFont="1" applyBorder="1" applyAlignment="1">
      <alignment horizontal="center"/>
    </xf>
    <xf numFmtId="164" fontId="20" fillId="0" borderId="38" xfId="0" applyNumberFormat="1" applyFont="1" applyBorder="1" applyAlignment="1">
      <alignment horizontal="center"/>
    </xf>
    <xf numFmtId="164" fontId="20" fillId="0" borderId="68" xfId="0" applyNumberFormat="1" applyFont="1" applyBorder="1" applyAlignment="1">
      <alignment horizontal="center"/>
    </xf>
    <xf numFmtId="164" fontId="20" fillId="0" borderId="63" xfId="0" applyNumberFormat="1" applyFont="1" applyBorder="1" applyAlignment="1">
      <alignment horizontal="center"/>
    </xf>
    <xf numFmtId="164" fontId="20" fillId="0" borderId="69" xfId="0" applyNumberFormat="1" applyFont="1" applyBorder="1" applyAlignment="1">
      <alignment horizontal="center"/>
    </xf>
    <xf numFmtId="2" fontId="20" fillId="0" borderId="67" xfId="0" applyNumberFormat="1" applyFont="1" applyBorder="1" applyAlignment="1">
      <alignment horizontal="center" vertical="center"/>
    </xf>
    <xf numFmtId="2" fontId="20" fillId="0" borderId="68" xfId="0" applyNumberFormat="1" applyFont="1" applyBorder="1" applyAlignment="1">
      <alignment horizontal="center" vertical="center"/>
    </xf>
    <xf numFmtId="2" fontId="20" fillId="0" borderId="69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5" fillId="0" borderId="46" xfId="43" applyFont="1" applyBorder="1" applyAlignment="1">
      <alignment horizontal="center" vertical="center"/>
    </xf>
    <xf numFmtId="0" fontId="25" fillId="0" borderId="47" xfId="43" applyFont="1" applyBorder="1" applyAlignment="1">
      <alignment horizontal="center" vertical="center"/>
    </xf>
    <xf numFmtId="0" fontId="25" fillId="0" borderId="48" xfId="43" applyFont="1" applyBorder="1" applyAlignment="1">
      <alignment horizontal="center" vertical="center"/>
    </xf>
    <xf numFmtId="0" fontId="25" fillId="26" borderId="36" xfId="43" applyFont="1" applyFill="1" applyBorder="1" applyAlignment="1">
      <alignment horizontal="center" vertical="center"/>
    </xf>
    <xf numFmtId="0" fontId="25" fillId="26" borderId="49" xfId="43" applyFont="1" applyFill="1" applyBorder="1" applyAlignment="1">
      <alignment horizontal="center" vertical="center"/>
    </xf>
    <xf numFmtId="0" fontId="25" fillId="26" borderId="29" xfId="43" applyFont="1" applyFill="1" applyBorder="1" applyAlignment="1">
      <alignment horizontal="center" vertical="center"/>
    </xf>
    <xf numFmtId="0" fontId="25" fillId="25" borderId="36" xfId="43" applyFont="1" applyFill="1" applyBorder="1" applyAlignment="1">
      <alignment horizontal="center" vertical="center"/>
    </xf>
    <xf numFmtId="0" fontId="25" fillId="25" borderId="49" xfId="43" applyFont="1" applyFill="1" applyBorder="1" applyAlignment="1">
      <alignment horizontal="center" vertical="center"/>
    </xf>
    <xf numFmtId="0" fontId="25" fillId="25" borderId="29" xfId="43" applyFont="1" applyFill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1" fontId="28" fillId="0" borderId="46" xfId="0" applyNumberFormat="1" applyFont="1" applyBorder="1" applyAlignment="1">
      <alignment horizontal="center" vertical="center"/>
    </xf>
    <xf numFmtId="1" fontId="28" fillId="0" borderId="47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6" fillId="0" borderId="43" xfId="1" applyFont="1" applyFill="1" applyBorder="1" applyAlignment="1">
      <alignment horizontal="center" vertical="center" wrapText="1"/>
    </xf>
    <xf numFmtId="0" fontId="26" fillId="0" borderId="58" xfId="1" applyFont="1" applyFill="1" applyBorder="1" applyAlignment="1">
      <alignment horizontal="center" vertical="center" wrapText="1"/>
    </xf>
    <xf numFmtId="0" fontId="26" fillId="0" borderId="39" xfId="1" applyFont="1" applyFill="1" applyBorder="1" applyAlignment="1">
      <alignment horizontal="center" vertical="center" wrapText="1"/>
    </xf>
    <xf numFmtId="166" fontId="26" fillId="0" borderId="44" xfId="1" applyNumberFormat="1" applyFont="1" applyFill="1" applyBorder="1" applyAlignment="1">
      <alignment horizontal="center" vertical="center"/>
    </xf>
    <xf numFmtId="166" fontId="26" fillId="0" borderId="54" xfId="1" applyNumberFormat="1" applyFont="1" applyFill="1" applyBorder="1" applyAlignment="1">
      <alignment horizontal="center" vertical="center"/>
    </xf>
    <xf numFmtId="166" fontId="26" fillId="0" borderId="40" xfId="1" applyNumberFormat="1" applyFont="1" applyFill="1" applyBorder="1" applyAlignment="1">
      <alignment horizontal="center" vertical="center"/>
    </xf>
    <xf numFmtId="2" fontId="26" fillId="0" borderId="44" xfId="1" applyNumberFormat="1" applyFont="1" applyFill="1" applyBorder="1" applyAlignment="1">
      <alignment horizontal="center" vertical="center"/>
    </xf>
    <xf numFmtId="2" fontId="26" fillId="0" borderId="54" xfId="1" applyNumberFormat="1" applyFont="1" applyFill="1" applyBorder="1" applyAlignment="1">
      <alignment horizontal="center" vertical="center"/>
    </xf>
    <xf numFmtId="2" fontId="26" fillId="0" borderId="40" xfId="1" applyNumberFormat="1" applyFont="1" applyFill="1" applyBorder="1" applyAlignment="1">
      <alignment horizontal="center" vertical="center"/>
    </xf>
    <xf numFmtId="0" fontId="26" fillId="0" borderId="80" xfId="1" applyFont="1" applyFill="1" applyBorder="1" applyAlignment="1">
      <alignment horizontal="center" vertical="center" wrapText="1"/>
    </xf>
    <xf numFmtId="0" fontId="26" fillId="0" borderId="62" xfId="1" applyFont="1" applyFill="1" applyBorder="1" applyAlignment="1">
      <alignment horizontal="center" vertical="center" wrapText="1"/>
    </xf>
    <xf numFmtId="0" fontId="26" fillId="0" borderId="56" xfId="1" applyFont="1" applyFill="1" applyBorder="1" applyAlignment="1">
      <alignment horizontal="center" vertical="center" wrapText="1"/>
    </xf>
    <xf numFmtId="0" fontId="34" fillId="0" borderId="50" xfId="0" applyFont="1" applyFill="1" applyBorder="1" applyAlignment="1">
      <alignment horizontal="center" vertical="center"/>
    </xf>
    <xf numFmtId="0" fontId="34" fillId="0" borderId="76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28" fillId="25" borderId="46" xfId="0" applyFont="1" applyFill="1" applyBorder="1" applyAlignment="1">
      <alignment horizontal="center" vertical="center"/>
    </xf>
    <xf numFmtId="0" fontId="28" fillId="25" borderId="47" xfId="0" applyFont="1" applyFill="1" applyBorder="1" applyAlignment="1">
      <alignment horizontal="center" vertical="center"/>
    </xf>
    <xf numFmtId="0" fontId="28" fillId="25" borderId="48" xfId="0" applyFont="1" applyFill="1" applyBorder="1" applyAlignment="1">
      <alignment horizontal="center" vertical="center"/>
    </xf>
    <xf numFmtId="0" fontId="28" fillId="27" borderId="46" xfId="0" applyFont="1" applyFill="1" applyBorder="1" applyAlignment="1">
      <alignment horizontal="center" vertical="center"/>
    </xf>
    <xf numFmtId="0" fontId="28" fillId="27" borderId="47" xfId="0" applyFont="1" applyFill="1" applyBorder="1" applyAlignment="1">
      <alignment horizontal="center" vertical="center"/>
    </xf>
    <xf numFmtId="0" fontId="28" fillId="27" borderId="48" xfId="0" applyFont="1" applyFill="1" applyBorder="1" applyAlignment="1">
      <alignment horizontal="center" vertical="center"/>
    </xf>
    <xf numFmtId="0" fontId="28" fillId="26" borderId="46" xfId="0" applyFont="1" applyFill="1" applyBorder="1" applyAlignment="1">
      <alignment horizontal="center" vertical="center"/>
    </xf>
    <xf numFmtId="0" fontId="28" fillId="26" borderId="47" xfId="0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6" fillId="0" borderId="46" xfId="1" applyFont="1" applyFill="1" applyBorder="1" applyAlignment="1">
      <alignment horizontal="center" vertical="center"/>
    </xf>
    <xf numFmtId="0" fontId="26" fillId="0" borderId="47" xfId="1" applyFont="1" applyFill="1" applyBorder="1" applyAlignment="1">
      <alignment horizontal="center" vertical="center"/>
    </xf>
    <xf numFmtId="0" fontId="26" fillId="0" borderId="48" xfId="1" applyFont="1" applyFill="1" applyBorder="1" applyAlignment="1">
      <alignment horizontal="center" vertical="center"/>
    </xf>
    <xf numFmtId="0" fontId="26" fillId="0" borderId="37" xfId="1" applyFont="1" applyFill="1" applyBorder="1" applyAlignment="1">
      <alignment horizontal="center" vertical="center"/>
    </xf>
    <xf numFmtId="0" fontId="26" fillId="0" borderId="53" xfId="1" applyFont="1" applyFill="1" applyBorder="1" applyAlignment="1">
      <alignment horizontal="center" vertical="center"/>
    </xf>
    <xf numFmtId="0" fontId="26" fillId="0" borderId="45" xfId="1" applyFont="1" applyFill="1" applyBorder="1" applyAlignment="1">
      <alignment horizontal="center" vertical="center"/>
    </xf>
    <xf numFmtId="0" fontId="26" fillId="0" borderId="63" xfId="1" applyFont="1" applyFill="1" applyBorder="1" applyAlignment="1">
      <alignment horizontal="center" vertical="center"/>
    </xf>
    <xf numFmtId="0" fontId="26" fillId="0" borderId="61" xfId="1" applyFont="1" applyFill="1" applyBorder="1" applyAlignment="1">
      <alignment horizontal="center" vertical="center"/>
    </xf>
    <xf numFmtId="0" fontId="26" fillId="0" borderId="64" xfId="1" applyFont="1" applyFill="1" applyBorder="1" applyAlignment="1">
      <alignment horizontal="center" vertical="center"/>
    </xf>
    <xf numFmtId="0" fontId="26" fillId="0" borderId="17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26" fillId="0" borderId="72" xfId="1" applyFont="1" applyFill="1" applyBorder="1" applyAlignment="1">
      <alignment horizontal="center" vertical="center"/>
    </xf>
    <xf numFmtId="1" fontId="26" fillId="0" borderId="63" xfId="1" applyNumberFormat="1" applyFont="1" applyFill="1" applyBorder="1" applyAlignment="1">
      <alignment horizontal="center" vertical="center"/>
    </xf>
    <xf numFmtId="1" fontId="26" fillId="0" borderId="61" xfId="1" applyNumberFormat="1" applyFont="1" applyFill="1" applyBorder="1" applyAlignment="1">
      <alignment horizontal="center" vertical="center"/>
    </xf>
    <xf numFmtId="1" fontId="26" fillId="0" borderId="64" xfId="1" applyNumberFormat="1" applyFont="1" applyFill="1" applyBorder="1" applyAlignment="1">
      <alignment horizontal="center" vertical="center"/>
    </xf>
    <xf numFmtId="1" fontId="26" fillId="0" borderId="65" xfId="1" applyNumberFormat="1" applyFont="1" applyFill="1" applyBorder="1" applyAlignment="1">
      <alignment horizontal="center" vertical="center"/>
    </xf>
    <xf numFmtId="1" fontId="26" fillId="0" borderId="60" xfId="1" applyNumberFormat="1" applyFont="1" applyFill="1" applyBorder="1" applyAlignment="1">
      <alignment horizontal="center" vertical="center"/>
    </xf>
    <xf numFmtId="1" fontId="26" fillId="0" borderId="66" xfId="1" applyNumberFormat="1" applyFont="1" applyFill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6" xfId="0" applyFont="1" applyBorder="1" applyAlignment="1">
      <alignment horizontal="center" vertical="center"/>
    </xf>
    <xf numFmtId="0" fontId="26" fillId="0" borderId="44" xfId="1" applyFont="1" applyFill="1" applyBorder="1" applyAlignment="1">
      <alignment horizontal="center" vertical="center" wrapText="1"/>
    </xf>
    <xf numFmtId="0" fontId="26" fillId="0" borderId="54" xfId="1" applyFont="1" applyFill="1" applyBorder="1" applyAlignment="1">
      <alignment horizontal="center" vertical="center" wrapText="1"/>
    </xf>
    <xf numFmtId="0" fontId="26" fillId="0" borderId="40" xfId="1" applyFont="1" applyFill="1" applyBorder="1" applyAlignment="1">
      <alignment horizontal="center" vertical="center" wrapText="1"/>
    </xf>
    <xf numFmtId="2" fontId="26" fillId="0" borderId="77" xfId="1" applyNumberFormat="1" applyFont="1" applyFill="1" applyBorder="1" applyAlignment="1">
      <alignment horizontal="center" vertical="center"/>
    </xf>
    <xf numFmtId="2" fontId="26" fillId="0" borderId="78" xfId="1" applyNumberFormat="1" applyFont="1" applyFill="1" applyBorder="1" applyAlignment="1">
      <alignment horizontal="center" vertical="center"/>
    </xf>
    <xf numFmtId="2" fontId="26" fillId="0" borderId="79" xfId="1" applyNumberFormat="1" applyFont="1" applyFill="1" applyBorder="1" applyAlignment="1">
      <alignment horizontal="center" vertical="center"/>
    </xf>
    <xf numFmtId="2" fontId="26" fillId="0" borderId="12" xfId="1" applyNumberFormat="1" applyFont="1" applyFill="1" applyBorder="1" applyAlignment="1">
      <alignment horizontal="center" vertical="center"/>
    </xf>
    <xf numFmtId="2" fontId="26" fillId="0" borderId="13" xfId="1" applyNumberFormat="1" applyFont="1" applyFill="1" applyBorder="1" applyAlignment="1">
      <alignment horizontal="center" vertical="center"/>
    </xf>
    <xf numFmtId="2" fontId="26" fillId="0" borderId="19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81" xfId="0" applyFont="1" applyBorder="1" applyAlignment="1">
      <alignment horizontal="left" vertical="center"/>
    </xf>
    <xf numFmtId="164" fontId="28" fillId="25" borderId="36" xfId="0" applyNumberFormat="1" applyFont="1" applyFill="1" applyBorder="1" applyAlignment="1">
      <alignment horizontal="center" vertical="center"/>
    </xf>
    <xf numFmtId="164" fontId="28" fillId="25" borderId="29" xfId="0" applyNumberFormat="1" applyFont="1" applyFill="1" applyBorder="1" applyAlignment="1">
      <alignment horizontal="center" vertical="center"/>
    </xf>
    <xf numFmtId="0" fontId="26" fillId="27" borderId="36" xfId="0" applyFont="1" applyFill="1" applyBorder="1" applyAlignment="1">
      <alignment horizontal="center" vertical="center" wrapText="1"/>
    </xf>
    <xf numFmtId="0" fontId="26" fillId="27" borderId="29" xfId="0" applyFont="1" applyFill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25" fillId="0" borderId="17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5" fillId="0" borderId="72" xfId="1" applyFont="1" applyFill="1" applyBorder="1" applyAlignment="1">
      <alignment horizontal="center" vertical="center"/>
    </xf>
    <xf numFmtId="0" fontId="25" fillId="0" borderId="46" xfId="1" applyFont="1" applyFill="1" applyBorder="1" applyAlignment="1">
      <alignment horizontal="center" vertical="center"/>
    </xf>
    <xf numFmtId="0" fontId="25" fillId="0" borderId="47" xfId="1" applyFont="1" applyFill="1" applyBorder="1" applyAlignment="1">
      <alignment horizontal="center" vertical="center"/>
    </xf>
    <xf numFmtId="0" fontId="25" fillId="0" borderId="48" xfId="1" applyFont="1" applyFill="1" applyBorder="1" applyAlignment="1">
      <alignment horizontal="center" vertical="center"/>
    </xf>
    <xf numFmtId="164" fontId="28" fillId="25" borderId="36" xfId="0" applyNumberFormat="1" applyFont="1" applyFill="1" applyBorder="1" applyAlignment="1">
      <alignment horizontal="center" vertical="center" wrapText="1"/>
    </xf>
    <xf numFmtId="164" fontId="28" fillId="25" borderId="29" xfId="0" applyNumberFormat="1" applyFont="1" applyFill="1" applyBorder="1" applyAlignment="1">
      <alignment horizontal="center" vertical="center" wrapText="1"/>
    </xf>
    <xf numFmtId="0" fontId="25" fillId="0" borderId="33" xfId="1" applyFont="1" applyFill="1" applyBorder="1" applyAlignment="1">
      <alignment horizontal="center" vertical="center"/>
    </xf>
    <xf numFmtId="0" fontId="25" fillId="0" borderId="34" xfId="1" applyFont="1" applyFill="1" applyBorder="1" applyAlignment="1">
      <alignment horizontal="center" vertical="center"/>
    </xf>
    <xf numFmtId="0" fontId="25" fillId="0" borderId="35" xfId="1" applyFont="1" applyFill="1" applyBorder="1" applyAlignment="1">
      <alignment horizontal="center" vertical="center"/>
    </xf>
    <xf numFmtId="0" fontId="25" fillId="0" borderId="43" xfId="1" applyFont="1" applyFill="1" applyBorder="1" applyAlignment="1">
      <alignment horizontal="center" vertical="center" wrapText="1"/>
    </xf>
    <xf numFmtId="0" fontId="25" fillId="0" borderId="58" xfId="1" applyFont="1" applyFill="1" applyBorder="1" applyAlignment="1">
      <alignment horizontal="center" vertical="center" wrapText="1"/>
    </xf>
    <xf numFmtId="166" fontId="25" fillId="0" borderId="44" xfId="1" applyNumberFormat="1" applyFont="1" applyFill="1" applyBorder="1" applyAlignment="1">
      <alignment horizontal="center" vertical="center"/>
    </xf>
    <xf numFmtId="166" fontId="25" fillId="0" borderId="54" xfId="1" applyNumberFormat="1" applyFont="1" applyFill="1" applyBorder="1" applyAlignment="1">
      <alignment horizontal="center" vertical="center"/>
    </xf>
    <xf numFmtId="2" fontId="25" fillId="0" borderId="44" xfId="1" applyNumberFormat="1" applyFont="1" applyFill="1" applyBorder="1" applyAlignment="1">
      <alignment horizontal="center" vertical="center"/>
    </xf>
    <xf numFmtId="2" fontId="25" fillId="0" borderId="54" xfId="1" applyNumberFormat="1" applyFont="1" applyFill="1" applyBorder="1" applyAlignment="1">
      <alignment horizontal="center" vertical="center"/>
    </xf>
    <xf numFmtId="0" fontId="25" fillId="0" borderId="77" xfId="1" applyFont="1" applyFill="1" applyBorder="1" applyAlignment="1">
      <alignment horizontal="center" vertical="center" wrapText="1"/>
    </xf>
    <xf numFmtId="0" fontId="25" fillId="0" borderId="78" xfId="1" applyFont="1" applyFill="1" applyBorder="1" applyAlignment="1">
      <alignment horizontal="center" vertical="center" wrapText="1"/>
    </xf>
    <xf numFmtId="0" fontId="25" fillId="0" borderId="79" xfId="1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82" xfId="0" applyFont="1" applyBorder="1" applyAlignment="1">
      <alignment horizontal="center" vertical="center"/>
    </xf>
    <xf numFmtId="0" fontId="40" fillId="0" borderId="81" xfId="0" applyFont="1" applyBorder="1" applyAlignment="1">
      <alignment horizontal="center" vertical="center"/>
    </xf>
    <xf numFmtId="0" fontId="40" fillId="0" borderId="83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6" fillId="0" borderId="77" xfId="1" applyFont="1" applyFill="1" applyBorder="1" applyAlignment="1">
      <alignment horizontal="center" vertical="center" wrapText="1"/>
    </xf>
    <xf numFmtId="0" fontId="26" fillId="0" borderId="78" xfId="1" applyFont="1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1" fontId="0" fillId="29" borderId="0" xfId="0" applyNumberFormat="1" applyFill="1" applyAlignment="1">
      <alignment horizontal="center" vertical="center"/>
    </xf>
  </cellXfs>
  <cellStyles count="44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rmal 3" xfId="43"/>
    <cellStyle name="Notas 2" xfId="34"/>
    <cellStyle name="Salida 2" xfId="35"/>
    <cellStyle name="Texto de advertencia 2" xfId="36"/>
    <cellStyle name="Texto explicativo 2" xfId="37"/>
    <cellStyle name="Título 1 2" xfId="39"/>
    <cellStyle name="Título 2 2" xfId="40"/>
    <cellStyle name="Título 3 2" xfId="41"/>
    <cellStyle name="Título 4" xfId="38"/>
    <cellStyle name="Total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Confronto curve ROP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34822054225021"/>
          <c:y val="0.12276457784133657"/>
          <c:w val="0.85792170585875893"/>
          <c:h val="0.68490130199808175"/>
        </c:manualLayout>
      </c:layout>
      <c:scatterChart>
        <c:scatterStyle val="lineMarker"/>
        <c:varyColors val="0"/>
        <c:ser>
          <c:idx val="1"/>
          <c:order val="0"/>
          <c:tx>
            <c:strRef>
              <c:f>Models!$B$4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Models!$B$7:$B$15</c:f>
            </c:numRef>
          </c:yVal>
          <c:smooth val="0"/>
        </c:ser>
        <c:ser>
          <c:idx val="2"/>
          <c:order val="1"/>
          <c:tx>
            <c:strRef>
              <c:f>Models!$C$4</c:f>
              <c:strCache>
                <c:ptCount val="1"/>
                <c:pt idx="0">
                  <c:v>Cassinelli et al. (1982)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Models!$C$7:$C$15</c:f>
              <c:numCache>
                <c:formatCode>0.0</c:formatCode>
                <c:ptCount val="9"/>
                <c:pt idx="0">
                  <c:v>1.4714100000000001</c:v>
                </c:pt>
                <c:pt idx="1">
                  <c:v>1.42598</c:v>
                </c:pt>
                <c:pt idx="2">
                  <c:v>1.3805500000000002</c:v>
                </c:pt>
                <c:pt idx="3">
                  <c:v>1.3351200000000001</c:v>
                </c:pt>
                <c:pt idx="4">
                  <c:v>1.2896900000000002</c:v>
                </c:pt>
                <c:pt idx="5">
                  <c:v>1.2442600000000001</c:v>
                </c:pt>
                <c:pt idx="6">
                  <c:v>1.1988300000000001</c:v>
                </c:pt>
                <c:pt idx="7">
                  <c:v>1.1534</c:v>
                </c:pt>
                <c:pt idx="8">
                  <c:v>1.1079700000000001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Models!$D$4</c:f>
              <c:strCache>
                <c:ptCount val="1"/>
                <c:pt idx="0">
                  <c:v>Sapigni et al. (2002)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Models!$D$7:$D$15</c:f>
              <c:numCache>
                <c:formatCode>General</c:formatCode>
                <c:ptCount val="9"/>
                <c:pt idx="0">
                  <c:v>1</c:v>
                </c:pt>
                <c:pt idx="1">
                  <c:v>1.4</c:v>
                </c:pt>
                <c:pt idx="2">
                  <c:v>1.8</c:v>
                </c:pt>
                <c:pt idx="3">
                  <c:v>2.1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1.8</c:v>
                </c:pt>
                <c:pt idx="8">
                  <c:v>1.4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Models!$E$4</c:f>
              <c:strCache>
                <c:ptCount val="1"/>
                <c:pt idx="0">
                  <c:v>Grandori et al. (2011)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Models!$E$7:$E$15</c:f>
              <c:numCache>
                <c:formatCode>0.00</c:formatCode>
                <c:ptCount val="9"/>
                <c:pt idx="0">
                  <c:v>1.1904000000000001</c:v>
                </c:pt>
                <c:pt idx="1">
                  <c:v>1.488</c:v>
                </c:pt>
                <c:pt idx="2">
                  <c:v>1.7856000000000001</c:v>
                </c:pt>
                <c:pt idx="3">
                  <c:v>2.3472</c:v>
                </c:pt>
                <c:pt idx="4">
                  <c:v>2.9087999999999998</c:v>
                </c:pt>
                <c:pt idx="5">
                  <c:v>3.4056000000000002</c:v>
                </c:pt>
                <c:pt idx="6">
                  <c:v>3.9024000000000005</c:v>
                </c:pt>
                <c:pt idx="7">
                  <c:v>3.3408000000000002</c:v>
                </c:pt>
                <c:pt idx="8">
                  <c:v>2.7791999999999999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Models!$F$4</c:f>
              <c:strCache>
                <c:ptCount val="1"/>
                <c:pt idx="0">
                  <c:v>Media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Models!$F$7:$F$15</c:f>
              <c:numCache>
                <c:formatCode>0.00</c:formatCode>
                <c:ptCount val="9"/>
                <c:pt idx="0">
                  <c:v>1.2904525</c:v>
                </c:pt>
                <c:pt idx="1">
                  <c:v>1.5409950000000001</c:v>
                </c:pt>
                <c:pt idx="2">
                  <c:v>1.7915375</c:v>
                </c:pt>
                <c:pt idx="3">
                  <c:v>1.9705800000000002</c:v>
                </c:pt>
                <c:pt idx="4">
                  <c:v>2.1246225000000001</c:v>
                </c:pt>
                <c:pt idx="5">
                  <c:v>2.187465</c:v>
                </c:pt>
                <c:pt idx="6">
                  <c:v>2.2253075</c:v>
                </c:pt>
                <c:pt idx="7">
                  <c:v>1.9735499999999999</c:v>
                </c:pt>
                <c:pt idx="8">
                  <c:v>1.7217924999999998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81304"/>
        <c:axId val="287984440"/>
      </c:scatterChart>
      <c:valAx>
        <c:axId val="2879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RMR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984440"/>
        <c:crosses val="autoZero"/>
        <c:crossBetween val="midCat"/>
      </c:valAx>
      <c:valAx>
        <c:axId val="287984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>
                    <a:latin typeface="Swis721 Cn BT" pitchFamily="34" charset="0"/>
                  </a:defRPr>
                </a:pPr>
                <a:r>
                  <a:rPr lang="es-ES" b="1">
                    <a:latin typeface="Swis721 Cn BT" pitchFamily="34" charset="0"/>
                  </a:rPr>
                  <a:t>ROP [m/h]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981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6.8581585614782938E-4"/>
          <c:y val="0.89594215383908526"/>
          <c:w val="0.9993141841438522"/>
          <c:h val="0.10114026775099502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Factor'!$D$21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Factor'!$D$22:$D$31</c:f>
              <c:numCache>
                <c:formatCode>0.0</c:formatCode>
                <c:ptCount val="10"/>
                <c:pt idx="0">
                  <c:v>8.3000000000000007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0.24</c:v>
                </c:pt>
                <c:pt idx="5">
                  <c:v>1.4890684931506848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0.16504915390813935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Factor'!$E$21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Factor'!$E$22:$E$31</c:f>
              <c:numCache>
                <c:formatCode>0.0</c:formatCode>
                <c:ptCount val="10"/>
                <c:pt idx="0">
                  <c:v>5.4</c:v>
                </c:pt>
                <c:pt idx="1">
                  <c:v>6</c:v>
                </c:pt>
                <c:pt idx="2">
                  <c:v>5</c:v>
                </c:pt>
                <c:pt idx="3">
                  <c:v>0.66666666666666663</c:v>
                </c:pt>
                <c:pt idx="4">
                  <c:v>0.24</c:v>
                </c:pt>
                <c:pt idx="5">
                  <c:v>2.8809986301369856</c:v>
                </c:pt>
                <c:pt idx="6">
                  <c:v>0.99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0.9164523502551738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0.98731639677115834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Factor'!$F$21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Factor'!$F$22:$F$31</c:f>
              <c:numCache>
                <c:formatCode>0.0</c:formatCode>
                <c:ptCount val="10"/>
                <c:pt idx="0">
                  <c:v>3.5999999999999996</c:v>
                </c:pt>
                <c:pt idx="1">
                  <c:v>3</c:v>
                </c:pt>
                <c:pt idx="2">
                  <c:v>6</c:v>
                </c:pt>
                <c:pt idx="3">
                  <c:v>0.33333333333333331</c:v>
                </c:pt>
                <c:pt idx="4">
                  <c:v>0.24</c:v>
                </c:pt>
                <c:pt idx="5">
                  <c:v>3.4464328767123278</c:v>
                </c:pt>
                <c:pt idx="6">
                  <c:v>1.08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Open</a:t>
            </a:r>
            <a:r>
              <a:rPr lang="es-ES" sz="1000" baseline="0">
                <a:latin typeface="Swis721 Cn BT" pitchFamily="34" charset="0"/>
              </a:rPr>
              <a:t> </a:t>
            </a:r>
            <a:r>
              <a:rPr lang="es-ES" sz="1000">
                <a:latin typeface="Swis721 Cn BT" pitchFamily="34" charset="0"/>
              </a:rPr>
              <a:t>TBM</a:t>
            </a:r>
          </a:p>
        </c:rich>
      </c:tx>
      <c:layout>
        <c:manualLayout>
          <c:xMode val="edge"/>
          <c:yMode val="edge"/>
          <c:x val="0.33342322730985635"/>
          <c:y val="7.764806605800973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Factor'!$C$3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Factor'!$C$4:$C$14</c:f>
              <c:numCache>
                <c:formatCode>0.0</c:formatCode>
                <c:ptCount val="11"/>
                <c:pt idx="0">
                  <c:v>11.968000000000007</c:v>
                </c:pt>
                <c:pt idx="1">
                  <c:v>1.1666666666666667</c:v>
                </c:pt>
                <c:pt idx="2">
                  <c:v>0</c:v>
                </c:pt>
                <c:pt idx="3">
                  <c:v>4</c:v>
                </c:pt>
                <c:pt idx="4">
                  <c:v>2.3333333333333335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0.74158340048347782</c:v>
                </c:pt>
              </c:numCache>
            </c:numRef>
          </c:val>
        </c:ser>
        <c:ser>
          <c:idx val="1"/>
          <c:order val="1"/>
          <c:tx>
            <c:strRef>
              <c:f>'Utilization Factor'!$D$3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Factor'!$D$4:$D$14</c:f>
              <c:numCache>
                <c:formatCode>0.0</c:formatCode>
                <c:ptCount val="11"/>
                <c:pt idx="0">
                  <c:v>8.8400000000000034</c:v>
                </c:pt>
                <c:pt idx="1">
                  <c:v>1.0833333333333333</c:v>
                </c:pt>
                <c:pt idx="2">
                  <c:v>2.6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0.77504915390813522</c:v>
                </c:pt>
              </c:numCache>
            </c:numRef>
          </c:val>
        </c:ser>
        <c:ser>
          <c:idx val="2"/>
          <c:order val="2"/>
          <c:tx>
            <c:strRef>
              <c:f>'Utilization Factor'!$E$3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Factor'!$E$4:$E$14</c:f>
              <c:numCache>
                <c:formatCode>0.0</c:formatCode>
                <c:ptCount val="11"/>
                <c:pt idx="0">
                  <c:v>4.993333333333335</c:v>
                </c:pt>
                <c:pt idx="1">
                  <c:v>0.58333333333333337</c:v>
                </c:pt>
                <c:pt idx="2">
                  <c:v>4.6666666666666661</c:v>
                </c:pt>
                <c:pt idx="3">
                  <c:v>5</c:v>
                </c:pt>
                <c:pt idx="4">
                  <c:v>1.1666666666666667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1.5731190169218401</c:v>
                </c:pt>
              </c:numCache>
            </c:numRef>
          </c:val>
        </c:ser>
        <c:ser>
          <c:idx val="3"/>
          <c:order val="3"/>
          <c:tx>
            <c:strRef>
              <c:f>'Utilization Factor'!$F$3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Factor'!$F$4:$F$14</c:f>
              <c:numCache>
                <c:formatCode>0.0</c:formatCode>
                <c:ptCount val="11"/>
                <c:pt idx="0">
                  <c:v>2.64</c:v>
                </c:pt>
                <c:pt idx="1">
                  <c:v>0.25</c:v>
                </c:pt>
                <c:pt idx="2">
                  <c:v>6</c:v>
                </c:pt>
                <c:pt idx="3">
                  <c:v>6</c:v>
                </c:pt>
                <c:pt idx="4">
                  <c:v>0.5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1.9376847703464932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3240640"/>
        <c:axId val="293244560"/>
      </c:barChart>
      <c:catAx>
        <c:axId val="293240640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44560"/>
        <c:crosses val="autoZero"/>
        <c:auto val="1"/>
        <c:lblAlgn val="ctr"/>
        <c:lblOffset val="100"/>
        <c:tickMarkSkip val="1"/>
        <c:noMultiLvlLbl val="0"/>
      </c:catAx>
      <c:valAx>
        <c:axId val="293244560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29324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Factor'!$C$3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Factor'!$C$4:$C$14</c:f>
              <c:numCache>
                <c:formatCode>0.0</c:formatCode>
                <c:ptCount val="11"/>
                <c:pt idx="0">
                  <c:v>11.968000000000007</c:v>
                </c:pt>
                <c:pt idx="1">
                  <c:v>1.1666666666666667</c:v>
                </c:pt>
                <c:pt idx="2">
                  <c:v>0</c:v>
                </c:pt>
                <c:pt idx="3">
                  <c:v>4</c:v>
                </c:pt>
                <c:pt idx="4">
                  <c:v>2.3333333333333335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0.74158340048347782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0.98839729939417953"/>
          <c:h val="0.19838711621148319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Factor'!$D$3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Factor'!$D$4:$D$14</c:f>
              <c:numCache>
                <c:formatCode>0.0</c:formatCode>
                <c:ptCount val="11"/>
                <c:pt idx="0">
                  <c:v>8.8400000000000034</c:v>
                </c:pt>
                <c:pt idx="1">
                  <c:v>1.0833333333333333</c:v>
                </c:pt>
                <c:pt idx="2">
                  <c:v>2.6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0.77504915390813522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Factor'!$E$3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Factor'!$E$4:$E$14</c:f>
              <c:numCache>
                <c:formatCode>0.0</c:formatCode>
                <c:ptCount val="11"/>
                <c:pt idx="0">
                  <c:v>4.993333333333335</c:v>
                </c:pt>
                <c:pt idx="1">
                  <c:v>0.58333333333333337</c:v>
                </c:pt>
                <c:pt idx="2">
                  <c:v>4.6666666666666661</c:v>
                </c:pt>
                <c:pt idx="3">
                  <c:v>5</c:v>
                </c:pt>
                <c:pt idx="4">
                  <c:v>1.1666666666666667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1.5731190169218401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Factor'!$F$3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Factor'!$F$4:$F$14</c:f>
              <c:numCache>
                <c:formatCode>0.0</c:formatCode>
                <c:ptCount val="11"/>
                <c:pt idx="0">
                  <c:v>2.64</c:v>
                </c:pt>
                <c:pt idx="1">
                  <c:v>0.25</c:v>
                </c:pt>
                <c:pt idx="2">
                  <c:v>6</c:v>
                </c:pt>
                <c:pt idx="3">
                  <c:v>6</c:v>
                </c:pt>
                <c:pt idx="4">
                  <c:v>0.5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1.9376847703464932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Curve velocità residua in funzione del nº di gg di picco</a:t>
            </a:r>
          </a:p>
        </c:rich>
      </c:tx>
      <c:layout>
        <c:manualLayout>
          <c:xMode val="edge"/>
          <c:yMode val="edge"/>
          <c:x val="0.20330517851270602"/>
          <c:y val="1.672140256140287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 Peak'!$C$58</c:f>
              <c:strCache>
                <c:ptCount val="1"/>
                <c:pt idx="0">
                  <c:v>O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Peak'!$C$61:$C$76</c:f>
              <c:numCache>
                <c:formatCode>0.00</c:formatCode>
                <c:ptCount val="16"/>
                <c:pt idx="0">
                  <c:v>456.02550613360199</c:v>
                </c:pt>
                <c:pt idx="1">
                  <c:v>443.36307136998448</c:v>
                </c:pt>
                <c:pt idx="2">
                  <c:v>429.70097070397617</c:v>
                </c:pt>
                <c:pt idx="3">
                  <c:v>414.91595765446016</c:v>
                </c:pt>
                <c:pt idx="4">
                  <c:v>398.86365777212865</c:v>
                </c:pt>
                <c:pt idx="5">
                  <c:v>381.37383849734948</c:v>
                </c:pt>
                <c:pt idx="6">
                  <c:v>362.24434866555976</c:v>
                </c:pt>
                <c:pt idx="7">
                  <c:v>341.23326966998746</c:v>
                </c:pt>
                <c:pt idx="8">
                  <c:v>318.04863077832147</c:v>
                </c:pt>
                <c:pt idx="9">
                  <c:v>292.33475855301913</c:v>
                </c:pt>
                <c:pt idx="10">
                  <c:v>263.65390107095118</c:v>
                </c:pt>
                <c:pt idx="11">
                  <c:v>231.46110185638523</c:v>
                </c:pt>
                <c:pt idx="12">
                  <c:v>195.06924187470187</c:v>
                </c:pt>
                <c:pt idx="13">
                  <c:v>153.59944794208593</c:v>
                </c:pt>
                <c:pt idx="14">
                  <c:v>105.9091849195776</c:v>
                </c:pt>
                <c:pt idx="15">
                  <c:v>50.485365731257112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'Prod Peak'!$D$58</c:f>
              <c:strCache>
                <c:ptCount val="1"/>
                <c:pt idx="0">
                  <c:v>S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Peak'!$D$61:$D$76</c:f>
              <c:numCache>
                <c:formatCode>0.00</c:formatCode>
                <c:ptCount val="16"/>
                <c:pt idx="0">
                  <c:v>392.91720436737552</c:v>
                </c:pt>
                <c:pt idx="1">
                  <c:v>381.43649305628128</c:v>
                </c:pt>
                <c:pt idx="2">
                  <c:v>369.04940979957422</c:v>
                </c:pt>
                <c:pt idx="3">
                  <c:v>355.64421011080913</c:v>
                </c:pt>
                <c:pt idx="4">
                  <c:v>341.08999330586408</c:v>
                </c:pt>
                <c:pt idx="5">
                  <c:v>325.23241380196873</c:v>
                </c:pt>
                <c:pt idx="6">
                  <c:v>307.88818621958325</c:v>
                </c:pt>
                <c:pt idx="7">
                  <c:v>288.83796903893034</c:v>
                </c:pt>
                <c:pt idx="8">
                  <c:v>267.81703973614094</c:v>
                </c:pt>
                <c:pt idx="9">
                  <c:v>244.50291814577449</c:v>
                </c:pt>
                <c:pt idx="10">
                  <c:v>218.49870560267343</c:v>
                </c:pt>
                <c:pt idx="11">
                  <c:v>189.31030376858038</c:v>
                </c:pt>
                <c:pt idx="12">
                  <c:v>156.31471908656223</c:v>
                </c:pt>
                <c:pt idx="13">
                  <c:v>118.71509933263448</c:v>
                </c:pt>
                <c:pt idx="14">
                  <c:v>75.475536615617699</c:v>
                </c:pt>
                <c:pt idx="15">
                  <c:v>25.224152917462909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'Prod Peak'!$E$58</c:f>
              <c:strCache>
                <c:ptCount val="1"/>
                <c:pt idx="0">
                  <c:v>DS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Peak'!$E$61:$E$76</c:f>
              <c:numCache>
                <c:formatCode>0.00</c:formatCode>
                <c:ptCount val="16"/>
                <c:pt idx="0">
                  <c:v>457.76205359248888</c:v>
                </c:pt>
                <c:pt idx="1">
                  <c:v>445.14358430027931</c:v>
                </c:pt>
                <c:pt idx="2">
                  <c:v>431.52892006394796</c:v>
                </c:pt>
                <c:pt idx="3">
                  <c:v>416.79524232874007</c:v>
                </c:pt>
                <c:pt idx="4">
                  <c:v>400.79867793051437</c:v>
                </c:pt>
                <c:pt idx="5">
                  <c:v>383.36958537722364</c:v>
                </c:pt>
                <c:pt idx="6">
                  <c:v>364.3065153970619</c:v>
                </c:pt>
                <c:pt idx="7">
                  <c:v>343.36838935327773</c:v>
                </c:pt>
                <c:pt idx="8">
                  <c:v>320.2642502704814</c:v>
                </c:pt>
                <c:pt idx="9">
                  <c:v>294.63965965138004</c:v>
                </c:pt>
                <c:pt idx="10">
                  <c:v>266.05838549930542</c:v>
                </c:pt>
                <c:pt idx="11">
                  <c:v>233.97736349187468</c:v>
                </c:pt>
                <c:pt idx="12">
                  <c:v>197.71186035303998</c:v>
                </c:pt>
                <c:pt idx="13">
                  <c:v>156.38605445064695</c:v>
                </c:pt>
                <c:pt idx="14">
                  <c:v>108.86137766289495</c:v>
                </c:pt>
                <c:pt idx="15">
                  <c:v>53.629996531183167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6344"/>
        <c:axId val="287073600"/>
      </c:scatterChart>
      <c:valAx>
        <c:axId val="28707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Durata del periodo </a:t>
                </a:r>
                <a:r>
                  <a:rPr lang="es-ES" baseline="0">
                    <a:latin typeface="Swis721 Cn BT" pitchFamily="34" charset="0"/>
                  </a:rPr>
                  <a:t>con velocità di picco [gg]</a:t>
                </a:r>
                <a:endParaRPr lang="es-ES">
                  <a:latin typeface="Swis721 Cn BT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3600"/>
        <c:crosses val="autoZero"/>
        <c:crossBetween val="midCat"/>
      </c:valAx>
      <c:valAx>
        <c:axId val="28707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 baseline="0">
                    <a:latin typeface="Swis721 Cn BT" pitchFamily="34" charset="0"/>
                  </a:rPr>
                  <a:t>velocità media nei giorni residui [m/M]</a:t>
                </a:r>
                <a:endParaRPr lang="es-ES">
                  <a:latin typeface="Swis721 Cn BT" pitchFamily="34" charset="0"/>
                </a:endParaRP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63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Diagramma</a:t>
            </a:r>
            <a:r>
              <a:rPr lang="es-ES" baseline="0">
                <a:latin typeface="Swis721 Cn BT" pitchFamily="34" charset="0"/>
              </a:rPr>
              <a:t> spazio-tempo GL sud in funzione del tipo di macchina</a:t>
            </a:r>
          </a:p>
          <a:p>
            <a:pPr>
              <a:defRPr>
                <a:latin typeface="Swis721 Cn BT" pitchFamily="34" charset="0"/>
              </a:defRPr>
            </a:pPr>
            <a:r>
              <a:rPr lang="es-ES" baseline="0">
                <a:latin typeface="Swis721 Cn BT" pitchFamily="34" charset="0"/>
              </a:rPr>
              <a:t>secondo i documenti a base di gara</a:t>
            </a:r>
            <a:endParaRPr lang="es-ES"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443889084927644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Advancement!$U$136</c:f>
              <c:strCache>
                <c:ptCount val="1"/>
                <c:pt idx="0">
                  <c:v>Open design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Advancement!$F$203:$F$204</c:f>
              <c:numCache>
                <c:formatCode>0.00</c:formatCode>
                <c:ptCount val="2"/>
                <c:pt idx="0">
                  <c:v>0</c:v>
                </c:pt>
                <c:pt idx="1">
                  <c:v>7.6693942858143291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Advancement!$V$136</c:f>
              <c:strCache>
                <c:ptCount val="1"/>
                <c:pt idx="0">
                  <c:v>S design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Advancement!$G$203:$G$204</c:f>
              <c:numCache>
                <c:formatCode>0.00</c:formatCode>
                <c:ptCount val="2"/>
                <c:pt idx="0">
                  <c:v>0</c:v>
                </c:pt>
                <c:pt idx="1">
                  <c:v>8.3129565019717919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Advancement!$W$136</c:f>
              <c:strCache>
                <c:ptCount val="1"/>
                <c:pt idx="0">
                  <c:v>DS design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Advancement!$H$203:$H$204</c:f>
              <c:numCache>
                <c:formatCode>0.00</c:formatCode>
                <c:ptCount val="2"/>
                <c:pt idx="0">
                  <c:v>0</c:v>
                </c:pt>
                <c:pt idx="1">
                  <c:v>8.8640704471650995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Advancement!$G$136</c:f>
              <c:strCache>
                <c:ptCount val="1"/>
                <c:pt idx="0">
                  <c:v>Open TBM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Advancement!$U$140:$U$154</c:f>
              <c:numCache>
                <c:formatCode>0.00</c:formatCode>
                <c:ptCount val="15"/>
                <c:pt idx="0">
                  <c:v>0</c:v>
                </c:pt>
                <c:pt idx="1">
                  <c:v>2.4113063019487582</c:v>
                </c:pt>
                <c:pt idx="2">
                  <c:v>2.5749112933903637</c:v>
                </c:pt>
                <c:pt idx="3">
                  <c:v>4.8554763121373412</c:v>
                </c:pt>
                <c:pt idx="4">
                  <c:v>4.9004420602754859</c:v>
                </c:pt>
                <c:pt idx="5">
                  <c:v>5.0217818088854891</c:v>
                </c:pt>
                <c:pt idx="6">
                  <c:v>5.1670411650598496</c:v>
                </c:pt>
                <c:pt idx="7">
                  <c:v>5.5799128731481389</c:v>
                </c:pt>
                <c:pt idx="8">
                  <c:v>6.0507411399892046</c:v>
                </c:pt>
                <c:pt idx="9">
                  <c:v>6.1442682832867987</c:v>
                </c:pt>
                <c:pt idx="10">
                  <c:v>6.8579448140774666</c:v>
                </c:pt>
                <c:pt idx="11">
                  <c:v>6.9758703425831285</c:v>
                </c:pt>
                <c:pt idx="12">
                  <c:v>7.1778060849803325</c:v>
                </c:pt>
                <c:pt idx="13">
                  <c:v>7.2628203336965882</c:v>
                </c:pt>
                <c:pt idx="14">
                  <c:v>7.4915434704934203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Advancement!$J$136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Advancement!$V$140:$V$154</c:f>
              <c:numCache>
                <c:formatCode>0.00</c:formatCode>
                <c:ptCount val="15"/>
                <c:pt idx="0">
                  <c:v>0</c:v>
                </c:pt>
                <c:pt idx="1">
                  <c:v>2.8957836976342968</c:v>
                </c:pt>
                <c:pt idx="2">
                  <c:v>3.0747016042723931</c:v>
                </c:pt>
                <c:pt idx="3">
                  <c:v>5.7813753761242452</c:v>
                </c:pt>
                <c:pt idx="4">
                  <c:v>5.8229548148347021</c:v>
                </c:pt>
                <c:pt idx="5">
                  <c:v>5.9669661069250459</c:v>
                </c:pt>
                <c:pt idx="6">
                  <c:v>6.1350753567818916</c:v>
                </c:pt>
                <c:pt idx="7">
                  <c:v>6.5168542572240256</c:v>
                </c:pt>
                <c:pt idx="8">
                  <c:v>7.0722604018176334</c:v>
                </c:pt>
                <c:pt idx="9">
                  <c:v>7.1587441429656558</c:v>
                </c:pt>
                <c:pt idx="10">
                  <c:v>8.0006229305601764</c:v>
                </c:pt>
                <c:pt idx="11">
                  <c:v>8.1096676476598564</c:v>
                </c:pt>
                <c:pt idx="12">
                  <c:v>8.341815654720687</c:v>
                </c:pt>
                <c:pt idx="13">
                  <c:v>8.4204275958175696</c:v>
                </c:pt>
                <c:pt idx="14">
                  <c:v>8.6833707466721837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Advancement!$M$136</c:f>
              <c:strCache>
                <c:ptCount val="1"/>
                <c:pt idx="0">
                  <c:v>DS TBM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Advancement!$W$140:$W$154</c:f>
              <c:numCache>
                <c:formatCode>0.00</c:formatCode>
                <c:ptCount val="15"/>
                <c:pt idx="0">
                  <c:v>0</c:v>
                </c:pt>
                <c:pt idx="1">
                  <c:v>2.5266968413640285</c:v>
                </c:pt>
                <c:pt idx="2">
                  <c:v>2.675636661153086</c:v>
                </c:pt>
                <c:pt idx="3">
                  <c:v>5.0221398314462373</c:v>
                </c:pt>
                <c:pt idx="4">
                  <c:v>5.0545862142549751</c:v>
                </c:pt>
                <c:pt idx="5">
                  <c:v>5.1794342683360561</c:v>
                </c:pt>
                <c:pt idx="6">
                  <c:v>5.3232329970437142</c:v>
                </c:pt>
                <c:pt idx="7">
                  <c:v>5.6211529482557854</c:v>
                </c:pt>
                <c:pt idx="8">
                  <c:v>6.101072311075411</c:v>
                </c:pt>
                <c:pt idx="9">
                  <c:v>6.1685596235319604</c:v>
                </c:pt>
                <c:pt idx="10">
                  <c:v>6.8960163419111815</c:v>
                </c:pt>
                <c:pt idx="11">
                  <c:v>6.9811090402259595</c:v>
                </c:pt>
                <c:pt idx="12">
                  <c:v>7.1789997275635269</c:v>
                </c:pt>
                <c:pt idx="13">
                  <c:v>7.240344305876123</c:v>
                </c:pt>
                <c:pt idx="14">
                  <c:v>7.4644857986768365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5168"/>
        <c:axId val="287073208"/>
      </c:scatterChart>
      <c:valAx>
        <c:axId val="287075168"/>
        <c:scaling>
          <c:orientation val="minMax"/>
          <c:max val="53000"/>
          <c:min val="4900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3208"/>
        <c:crosses val="autoZero"/>
        <c:crossBetween val="midCat"/>
      </c:valAx>
      <c:valAx>
        <c:axId val="287073208"/>
        <c:scaling>
          <c:orientation val="maxMin"/>
          <c:max val="12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5168"/>
        <c:crosses val="autoZero"/>
        <c:crossBetween val="midCat"/>
        <c:majorUnit val="1"/>
        <c:minorUnit val="0.5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b="1">
              <a:latin typeface="Swis721 Lt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Confronto curve UF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610800157291799E-2"/>
          <c:y val="0.12276450454399838"/>
          <c:w val="0.85792170585875893"/>
          <c:h val="0.68490130199808175"/>
        </c:manualLayout>
      </c:layout>
      <c:lineChart>
        <c:grouping val="standard"/>
        <c:varyColors val="0"/>
        <c:ser>
          <c:idx val="0"/>
          <c:order val="0"/>
          <c:tx>
            <c:strRef>
              <c:f>Models!$A$21</c:f>
              <c:strCache>
                <c:ptCount val="1"/>
                <c:pt idx="0">
                  <c:v>Open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Models!$B$21:$E$21</c:f>
              <c:numCache>
                <c:formatCode>0%</c:formatCode>
                <c:ptCount val="3"/>
                <c:pt idx="0">
                  <c:v>0.20805555555555563</c:v>
                </c:pt>
                <c:pt idx="1">
                  <c:v>0.36833333333333346</c:v>
                </c:pt>
                <c:pt idx="2">
                  <c:v>0.49866666666666698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Models!$A$22</c:f>
              <c:strCache>
                <c:ptCount val="1"/>
                <c:pt idx="0">
                  <c:v>S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Models!$B$22:$E$22</c:f>
              <c:numCache>
                <c:formatCode>0%</c:formatCode>
                <c:ptCount val="3"/>
                <c:pt idx="0">
                  <c:v>0.22500000000000001</c:v>
                </c:pt>
                <c:pt idx="1">
                  <c:v>0.34583333333333338</c:v>
                </c:pt>
                <c:pt idx="2">
                  <c:v>0.40833333333333338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Models!$A$23</c:f>
              <c:strCache>
                <c:ptCount val="1"/>
                <c:pt idx="0">
                  <c:v>DS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Models!$B$23:$E$23</c:f>
              <c:numCache>
                <c:formatCode>0%</c:formatCode>
                <c:ptCount val="3"/>
                <c:pt idx="0">
                  <c:v>0.28833333333333333</c:v>
                </c:pt>
                <c:pt idx="1">
                  <c:v>0.42111111111111105</c:v>
                </c:pt>
                <c:pt idx="2">
                  <c:v>0.46361111111111114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82088"/>
        <c:axId val="287984832"/>
      </c:lineChart>
      <c:catAx>
        <c:axId val="2879820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RMR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984832"/>
        <c:crossesAt val="0"/>
        <c:auto val="1"/>
        <c:lblAlgn val="ctr"/>
        <c:lblOffset val="100"/>
        <c:noMultiLvlLbl val="0"/>
      </c:catAx>
      <c:valAx>
        <c:axId val="28798483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b="1">
                    <a:latin typeface="Swis721 Cn BT" pitchFamily="34" charset="0"/>
                  </a:defRPr>
                </a:pPr>
                <a:r>
                  <a:rPr lang="es-ES" b="1">
                    <a:latin typeface="Swis721 Cn BT" pitchFamily="34" charset="0"/>
                  </a:rPr>
                  <a:t>UF [%]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9820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71052538838175"/>
          <c:y val="0.92243231185505792"/>
          <c:w val="0.43171337749065158"/>
          <c:h val="5.1628589252895853E-2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baseline="0">
                <a:effectLst/>
                <a:latin typeface="Swis721 Cn BT" pitchFamily="34" charset="0"/>
              </a:rPr>
              <a:t>Programma lavori GL sud secondo i documenti a base di gara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30350659217050596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7"/>
          <c:order val="1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11"/>
          <c:order val="2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6736"/>
        <c:axId val="287070856"/>
      </c:scatterChart>
      <c:valAx>
        <c:axId val="2870767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0856"/>
        <c:crosses val="autoZero"/>
        <c:crossBetween val="midCat"/>
      </c:valAx>
      <c:valAx>
        <c:axId val="287070856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6736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Diagrammi</a:t>
            </a:r>
            <a:r>
              <a:rPr lang="es-ES" baseline="0">
                <a:latin typeface="Swis721 Cn BT" pitchFamily="34" charset="0"/>
              </a:rPr>
              <a:t> spazio-tempo in fase di scavo GL sud in funzione del tipo di macchina</a:t>
            </a:r>
            <a:endParaRPr lang="es-ES"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210739153555543"/>
          <c:y val="1.46332895980684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dPt>
            <c:idx val="33"/>
            <c:marker>
              <c:symbol val="square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dPt>
            <c:idx val="33"/>
            <c:marker>
              <c:symbol val="diamond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dPt>
            <c:idx val="33"/>
            <c:marker>
              <c:symbol val="triangle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 w="381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marker>
              <c:symbol val="circle"/>
              <c:size val="7"/>
              <c:spPr>
                <a:solidFill>
                  <a:schemeClr val="accent4">
                    <a:lumMod val="75000"/>
                  </a:schemeClr>
                </a:solidFill>
              </c:spPr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3992"/>
        <c:axId val="287069288"/>
      </c:scatterChart>
      <c:valAx>
        <c:axId val="2870739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69288"/>
        <c:crosses val="autoZero"/>
        <c:crossBetween val="midCat"/>
      </c:valAx>
      <c:valAx>
        <c:axId val="287069288"/>
        <c:scaling>
          <c:orientation val="maxMin"/>
          <c:max val="3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3992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8754055798149034"/>
          <c:y val="0.54848845031817117"/>
          <c:w val="0.1056321325224855"/>
          <c:h val="0.1494267914957049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02674585055482"/>
          <c:y val="1.67237595406496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28575">
              <a:prstDash val="dash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4"/>
          <c:order val="4"/>
          <c:tx>
            <c:v>Open fine Est</c:v>
          </c:tx>
          <c:spPr>
            <a:ln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Advancement!$H$176:$H$180</c:f>
              <c:numCache>
                <c:formatCode>0.00</c:formatCode>
                <c:ptCount val="5"/>
                <c:pt idx="0">
                  <c:v>15.561644103563625</c:v>
                </c:pt>
                <c:pt idx="1">
                  <c:v>23.999825921745462</c:v>
                </c:pt>
                <c:pt idx="2">
                  <c:v>26.999825921745462</c:v>
                </c:pt>
                <c:pt idx="3">
                  <c:v>31.462325921745471</c:v>
                </c:pt>
                <c:pt idx="4">
                  <c:v>42.693095152514701</c:v>
                </c:pt>
              </c:numCache>
            </c:numRef>
          </c:yVal>
          <c:smooth val="0"/>
        </c:ser>
        <c:ser>
          <c:idx val="5"/>
          <c:order val="5"/>
          <c:tx>
            <c:v>S fine 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Advancement!$K$176:$K$180</c:f>
              <c:numCache>
                <c:formatCode>0.00</c:formatCode>
                <c:ptCount val="5"/>
                <c:pt idx="0">
                  <c:v>16.969044834661755</c:v>
                </c:pt>
                <c:pt idx="1">
                  <c:v>25.40722665284359</c:v>
                </c:pt>
                <c:pt idx="2">
                  <c:v>28.40722665284359</c:v>
                </c:pt>
                <c:pt idx="3">
                  <c:v>32.869726652843596</c:v>
                </c:pt>
                <c:pt idx="4">
                  <c:v>36.992079594020069</c:v>
                </c:pt>
              </c:numCache>
            </c:numRef>
          </c:yVal>
          <c:smooth val="0"/>
        </c:ser>
        <c:ser>
          <c:idx val="6"/>
          <c:order val="6"/>
          <c:tx>
            <c:v>DS fine 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Advancement!$N$176:$N$180</c:f>
              <c:numCache>
                <c:formatCode>0.00</c:formatCode>
                <c:ptCount val="5"/>
                <c:pt idx="0">
                  <c:v>16.039917654097032</c:v>
                </c:pt>
                <c:pt idx="1">
                  <c:v>24.478099472278867</c:v>
                </c:pt>
                <c:pt idx="2">
                  <c:v>27.478099472278867</c:v>
                </c:pt>
                <c:pt idx="3">
                  <c:v>31.940599472278876</c:v>
                </c:pt>
                <c:pt idx="4">
                  <c:v>36.062952413455349</c:v>
                </c:pt>
              </c:numCache>
            </c:numRef>
          </c:yVal>
          <c:smooth val="0"/>
        </c:ser>
        <c:ser>
          <c:idx val="7"/>
          <c:order val="7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8"/>
          <c:order val="8"/>
          <c:tx>
            <c:v>Open fine Ovest</c:v>
          </c:tx>
          <c:spPr>
            <a:ln>
              <a:solidFill>
                <a:schemeClr val="accent1">
                  <a:shade val="65000"/>
                  <a:shade val="95000"/>
                  <a:satMod val="105000"/>
                </a:schemeClr>
              </a:solidFill>
              <a:prstDash val="dashDot"/>
            </a:ln>
          </c:spPr>
          <c:marker>
            <c:symbol val="none"/>
          </c:marker>
          <c:dPt>
            <c:idx val="3"/>
            <c:marker>
              <c:symbol val="square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Advancement!$H$183:$H$187</c:f>
              <c:numCache>
                <c:formatCode>0.00</c:formatCode>
                <c:ptCount val="5"/>
                <c:pt idx="0">
                  <c:v>27.198007046046651</c:v>
                </c:pt>
                <c:pt idx="1">
                  <c:v>35.636188864228487</c:v>
                </c:pt>
                <c:pt idx="2">
                  <c:v>42.693095152514701</c:v>
                </c:pt>
                <c:pt idx="3">
                  <c:v>47.155595152514707</c:v>
                </c:pt>
                <c:pt idx="4">
                  <c:v>58.386364383283933</c:v>
                </c:pt>
              </c:numCache>
            </c:numRef>
          </c:yVal>
          <c:smooth val="0"/>
        </c:ser>
        <c:ser>
          <c:idx val="9"/>
          <c:order val="9"/>
          <c:tx>
            <c:v>S fine Ovest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"/>
            <c:marker>
              <c:symbol val="diamond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Advancement!$K$183:$K$187</c:f>
              <c:numCache>
                <c:formatCode>0.00</c:formatCode>
                <c:ptCount val="5"/>
                <c:pt idx="0">
                  <c:v>30.798519080148591</c:v>
                </c:pt>
                <c:pt idx="1">
                  <c:v>39.236700898330426</c:v>
                </c:pt>
                <c:pt idx="2">
                  <c:v>42.236700898330426</c:v>
                </c:pt>
                <c:pt idx="3">
                  <c:v>46.699200898330432</c:v>
                </c:pt>
                <c:pt idx="4">
                  <c:v>50.821553839506905</c:v>
                </c:pt>
              </c:numCache>
            </c:numRef>
          </c:yVal>
          <c:smooth val="0"/>
        </c:ser>
        <c:ser>
          <c:idx val="10"/>
          <c:order val="10"/>
          <c:tx>
            <c:v>DS fine Ovest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3"/>
            <c:marker>
              <c:symbol val="triangle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Advancement!$N$183:$N$187</c:f>
              <c:numCache>
                <c:formatCode>0.00</c:formatCode>
                <c:ptCount val="5"/>
                <c:pt idx="0">
                  <c:v>29.119345752697932</c:v>
                </c:pt>
                <c:pt idx="1">
                  <c:v>37.55752757087977</c:v>
                </c:pt>
                <c:pt idx="2">
                  <c:v>40.55752757087977</c:v>
                </c:pt>
                <c:pt idx="3">
                  <c:v>45.020027570879776</c:v>
                </c:pt>
                <c:pt idx="4">
                  <c:v>49.142380512056249</c:v>
                </c:pt>
              </c:numCache>
            </c:numRef>
          </c:yVal>
          <c:smooth val="0"/>
        </c:ser>
        <c:ser>
          <c:idx val="11"/>
          <c:order val="11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2424"/>
        <c:axId val="287070464"/>
      </c:scatterChart>
      <c:valAx>
        <c:axId val="2870724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0464"/>
        <c:crosses val="autoZero"/>
        <c:crossBetween val="midCat"/>
      </c:valAx>
      <c:valAx>
        <c:axId val="287070464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2424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Open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924805410927695"/>
          <c:y val="2.50856393109745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28575"/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 cmpd="sng"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4"/>
          <c:order val="2"/>
          <c:tx>
            <c:v>Open fine Est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Advancement!$H$176:$H$180</c:f>
              <c:numCache>
                <c:formatCode>0.00</c:formatCode>
                <c:ptCount val="5"/>
                <c:pt idx="0">
                  <c:v>15.561644103563625</c:v>
                </c:pt>
                <c:pt idx="1">
                  <c:v>23.999825921745462</c:v>
                </c:pt>
                <c:pt idx="2">
                  <c:v>26.999825921745462</c:v>
                </c:pt>
                <c:pt idx="3">
                  <c:v>31.462325921745471</c:v>
                </c:pt>
                <c:pt idx="4">
                  <c:v>42.693095152514701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8"/>
          <c:order val="4"/>
          <c:tx>
            <c:v>Open fine Ovest</c:v>
          </c:tx>
          <c:spPr>
            <a:ln>
              <a:solidFill>
                <a:schemeClr val="accent1">
                  <a:shade val="65000"/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Advancement!$H$183:$H$187</c:f>
              <c:numCache>
                <c:formatCode>0.00</c:formatCode>
                <c:ptCount val="5"/>
                <c:pt idx="0">
                  <c:v>27.198007046046651</c:v>
                </c:pt>
                <c:pt idx="1">
                  <c:v>35.636188864228487</c:v>
                </c:pt>
                <c:pt idx="2">
                  <c:v>42.693095152514701</c:v>
                </c:pt>
                <c:pt idx="3">
                  <c:v>47.155595152514707</c:v>
                </c:pt>
                <c:pt idx="4">
                  <c:v>58.386364383283933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2032"/>
        <c:axId val="287074384"/>
      </c:scatterChart>
      <c:valAx>
        <c:axId val="2870720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4384"/>
        <c:crosses val="autoZero"/>
        <c:crossBetween val="midCat"/>
      </c:valAx>
      <c:valAx>
        <c:axId val="287074384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2032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Shield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9247021949101171"/>
          <c:y val="1.881422948323089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5"/>
          <c:order val="2"/>
          <c:tx>
            <c:v>S fine 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Advancement!$K$176:$K$180</c:f>
              <c:numCache>
                <c:formatCode>0.00</c:formatCode>
                <c:ptCount val="5"/>
                <c:pt idx="0">
                  <c:v>16.969044834661755</c:v>
                </c:pt>
                <c:pt idx="1">
                  <c:v>25.40722665284359</c:v>
                </c:pt>
                <c:pt idx="2">
                  <c:v>28.40722665284359</c:v>
                </c:pt>
                <c:pt idx="3">
                  <c:v>32.869726652843596</c:v>
                </c:pt>
                <c:pt idx="4">
                  <c:v>36.992079594020069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9"/>
          <c:order val="4"/>
          <c:tx>
            <c:v>S fine Ovest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Advancement!$K$183:$K$187</c:f>
              <c:numCache>
                <c:formatCode>0.00</c:formatCode>
                <c:ptCount val="5"/>
                <c:pt idx="0">
                  <c:v>30.798519080148591</c:v>
                </c:pt>
                <c:pt idx="1">
                  <c:v>39.236700898330426</c:v>
                </c:pt>
                <c:pt idx="2">
                  <c:v>42.236700898330426</c:v>
                </c:pt>
                <c:pt idx="3">
                  <c:v>46.699200898330432</c:v>
                </c:pt>
                <c:pt idx="4">
                  <c:v>50.821553839506905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71640"/>
        <c:axId val="287980520"/>
      </c:scatterChart>
      <c:valAx>
        <c:axId val="2870716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980520"/>
        <c:crosses val="autoZero"/>
        <c:crossBetween val="midCat"/>
      </c:valAx>
      <c:valAx>
        <c:axId val="287980520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287071640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Double Shield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6.0293959218061244E-2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6"/>
          <c:order val="2"/>
          <c:tx>
            <c:v>DS fine 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Advancement!$N$176:$N$180</c:f>
              <c:numCache>
                <c:formatCode>0.00</c:formatCode>
                <c:ptCount val="5"/>
                <c:pt idx="0">
                  <c:v>16.039917654097032</c:v>
                </c:pt>
                <c:pt idx="1">
                  <c:v>24.478099472278867</c:v>
                </c:pt>
                <c:pt idx="2">
                  <c:v>27.478099472278867</c:v>
                </c:pt>
                <c:pt idx="3">
                  <c:v>31.940599472278876</c:v>
                </c:pt>
                <c:pt idx="4">
                  <c:v>36.062952413455349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10"/>
          <c:order val="4"/>
          <c:tx>
            <c:v>DS fine Ovest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Advancement!$N$183:$N$187</c:f>
              <c:numCache>
                <c:formatCode>0.00</c:formatCode>
                <c:ptCount val="5"/>
                <c:pt idx="0">
                  <c:v>29.119345752697932</c:v>
                </c:pt>
                <c:pt idx="1">
                  <c:v>37.55752757087977</c:v>
                </c:pt>
                <c:pt idx="2">
                  <c:v>40.55752757087977</c:v>
                </c:pt>
                <c:pt idx="3">
                  <c:v>45.020027570879776</c:v>
                </c:pt>
                <c:pt idx="4">
                  <c:v>49.142380512056249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2760"/>
        <c:axId val="360569032"/>
      </c:scatterChart>
      <c:valAx>
        <c:axId val="3605627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360569032"/>
        <c:crosses val="autoZero"/>
        <c:crossBetween val="midCat"/>
      </c:valAx>
      <c:valAx>
        <c:axId val="360569032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360562760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LtCn BT" pitchFamily="34" charset="0"/>
              </a:defRPr>
            </a:pPr>
            <a:r>
              <a:rPr lang="es-ES">
                <a:latin typeface="Swis721 LtCn BT" pitchFamily="34" charset="0"/>
              </a:rPr>
              <a:t>RME e </a:t>
            </a:r>
            <a:r>
              <a:rPr lang="el-GR">
                <a:latin typeface="Swis721 LtCn BT" pitchFamily="34" charset="0"/>
                <a:cs typeface="Calibri"/>
              </a:rPr>
              <a:t>σ</a:t>
            </a:r>
            <a:r>
              <a:rPr lang="es-ES" baseline="-25000">
                <a:latin typeface="Swis721 LtCn BT" pitchFamily="34" charset="0"/>
                <a:cs typeface="Calibri"/>
              </a:rPr>
              <a:t>ci</a:t>
            </a:r>
            <a:r>
              <a:rPr lang="es-ES" baseline="0">
                <a:latin typeface="Swis721 LtCn BT" pitchFamily="34" charset="0"/>
                <a:cs typeface="Calibri"/>
              </a:rPr>
              <a:t> tratta Sud secondo il progetto a base di gara</a:t>
            </a:r>
            <a:endParaRPr lang="es-ES" baseline="-25000">
              <a:latin typeface="Swis721 LtCn BT" pitchFamily="34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RME</c:v>
          </c:tx>
          <c:marker>
            <c:symbol val="none"/>
          </c:marker>
          <c:xVal>
            <c:numRef>
              <c:f>('RME sigmaC'!$B$7:$C$7,'RME sigmaC'!$B$8:$C$8,'RME sigmaC'!$B$9:$C$9,'RME sigmaC'!$B$10:$C$10,'RME sigmaC'!$B$11:$C$11,'RME sigmaC'!$B$12:$C$12,'RME sigmaC'!$B$13:$C$13,'RME sigmaC'!$B$14:$C$14,'RME sigmaC'!$B$15:$C$15,'RME sigmaC'!$B$16:$C$16,'RME sigmaC'!$B$17:$C$17,'RME sigmaC'!$B$18:$C$18,'RME sigmaC'!$B$19:$C$19,'RME sigmaC'!$B$20:$C$20)</c:f>
              <c:numCache>
                <c:formatCode>0\+000.00</c:formatCode>
                <c:ptCount val="28"/>
                <c:pt idx="0">
                  <c:v>49118</c:v>
                </c:pt>
                <c:pt idx="1">
                  <c:v>50323</c:v>
                </c:pt>
                <c:pt idx="2">
                  <c:v>50323</c:v>
                </c:pt>
                <c:pt idx="3">
                  <c:v>50395</c:v>
                </c:pt>
                <c:pt idx="4">
                  <c:v>50395</c:v>
                </c:pt>
                <c:pt idx="5">
                  <c:v>51494.5</c:v>
                </c:pt>
                <c:pt idx="6">
                  <c:v>51494.5</c:v>
                </c:pt>
                <c:pt idx="7">
                  <c:v>51505.5</c:v>
                </c:pt>
                <c:pt idx="8">
                  <c:v>51505.5</c:v>
                </c:pt>
                <c:pt idx="9">
                  <c:v>51564</c:v>
                </c:pt>
                <c:pt idx="10">
                  <c:v>51564</c:v>
                </c:pt>
                <c:pt idx="11">
                  <c:v>51639</c:v>
                </c:pt>
                <c:pt idx="12">
                  <c:v>51639</c:v>
                </c:pt>
                <c:pt idx="13">
                  <c:v>51743</c:v>
                </c:pt>
                <c:pt idx="14">
                  <c:v>51743</c:v>
                </c:pt>
                <c:pt idx="15">
                  <c:v>51980.5</c:v>
                </c:pt>
                <c:pt idx="16">
                  <c:v>51980.5</c:v>
                </c:pt>
                <c:pt idx="17">
                  <c:v>52003.5</c:v>
                </c:pt>
                <c:pt idx="18">
                  <c:v>52003.5</c:v>
                </c:pt>
                <c:pt idx="19">
                  <c:v>52363.5</c:v>
                </c:pt>
                <c:pt idx="20">
                  <c:v>52363.5</c:v>
                </c:pt>
                <c:pt idx="21">
                  <c:v>52392.5</c:v>
                </c:pt>
                <c:pt idx="22">
                  <c:v>52392.5</c:v>
                </c:pt>
                <c:pt idx="23">
                  <c:v>52490.5</c:v>
                </c:pt>
                <c:pt idx="24">
                  <c:v>52490.5</c:v>
                </c:pt>
                <c:pt idx="25">
                  <c:v>52511.5</c:v>
                </c:pt>
                <c:pt idx="26">
                  <c:v>52511.5</c:v>
                </c:pt>
                <c:pt idx="27">
                  <c:v>52622.5</c:v>
                </c:pt>
              </c:numCache>
            </c:numRef>
          </c:xVal>
          <c:yVal>
            <c:numRef>
              <c:f>('RME sigmaC'!$F$7,'RME sigmaC'!$F$7,'RME sigmaC'!$F$8,'RME sigmaC'!$F$8,'RME sigmaC'!$F$9,'RME sigmaC'!$F$9,'RME sigmaC'!$F$10,'RME sigmaC'!$F$10,'RME sigmaC'!$F$11,'RME sigmaC'!$F$11,'RME sigmaC'!$F$12,'RME sigmaC'!$F$12,'RME sigmaC'!$F$13,'RME sigmaC'!$F$13,'RME sigmaC'!$F$14,'RME sigmaC'!$F$14,'RME sigmaC'!$F$15,'RME sigmaC'!$F$15,'RME sigmaC'!$F$16,'RME sigmaC'!$F$16,'RME sigmaC'!$F$17,'RME sigmaC'!$F$17,'RME sigmaC'!$F$18,'RME sigmaC'!$F$18,'RME sigmaC'!$F$19,'RME sigmaC'!$F$19,'RME sigmaC'!$F$20,'RME sigmaC'!$F$20)</c:f>
              <c:numCache>
                <c:formatCode>0</c:formatCode>
                <c:ptCount val="28"/>
                <c:pt idx="0">
                  <c:v>79</c:v>
                </c:pt>
                <c:pt idx="1">
                  <c:v>79</c:v>
                </c:pt>
                <c:pt idx="2">
                  <c:v>92</c:v>
                </c:pt>
                <c:pt idx="3">
                  <c:v>92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3936"/>
        <c:axId val="360565504"/>
      </c:scatterChart>
      <c:scatterChart>
        <c:scatterStyle val="lineMarker"/>
        <c:varyColors val="0"/>
        <c:ser>
          <c:idx val="1"/>
          <c:order val="1"/>
          <c:tx>
            <c:strRef>
              <c:f>'RME sigmaC'!$G$5</c:f>
              <c:strCache>
                <c:ptCount val="1"/>
                <c:pt idx="0">
                  <c:v>UCS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('RME sigmaC'!$B$7:$C$7,'RME sigmaC'!$B$8:$C$8,'RME sigmaC'!$B$9:$C$9,'RME sigmaC'!$B$10:$C$10,'RME sigmaC'!$B$11:$C$11,'RME sigmaC'!$B$12:$C$12,'RME sigmaC'!$B$13:$C$13,'RME sigmaC'!$B$14:$C$14,'RME sigmaC'!$B$15:$C$15,'RME sigmaC'!$B$16:$C$16,'RME sigmaC'!$B$17:$C$17,'RME sigmaC'!$B$18:$C$18,'RME sigmaC'!$B$19:$C$19,'RME sigmaC'!$B$20:$C$20)</c:f>
              <c:numCache>
                <c:formatCode>0\+000.00</c:formatCode>
                <c:ptCount val="28"/>
                <c:pt idx="0">
                  <c:v>49118</c:v>
                </c:pt>
                <c:pt idx="1">
                  <c:v>50323</c:v>
                </c:pt>
                <c:pt idx="2">
                  <c:v>50323</c:v>
                </c:pt>
                <c:pt idx="3">
                  <c:v>50395</c:v>
                </c:pt>
                <c:pt idx="4">
                  <c:v>50395</c:v>
                </c:pt>
                <c:pt idx="5">
                  <c:v>51494.5</c:v>
                </c:pt>
                <c:pt idx="6">
                  <c:v>51494.5</c:v>
                </c:pt>
                <c:pt idx="7">
                  <c:v>51505.5</c:v>
                </c:pt>
                <c:pt idx="8">
                  <c:v>51505.5</c:v>
                </c:pt>
                <c:pt idx="9">
                  <c:v>51564</c:v>
                </c:pt>
                <c:pt idx="10">
                  <c:v>51564</c:v>
                </c:pt>
                <c:pt idx="11">
                  <c:v>51639</c:v>
                </c:pt>
                <c:pt idx="12">
                  <c:v>51639</c:v>
                </c:pt>
                <c:pt idx="13">
                  <c:v>51743</c:v>
                </c:pt>
                <c:pt idx="14">
                  <c:v>51743</c:v>
                </c:pt>
                <c:pt idx="15">
                  <c:v>51980.5</c:v>
                </c:pt>
                <c:pt idx="16">
                  <c:v>51980.5</c:v>
                </c:pt>
                <c:pt idx="17">
                  <c:v>52003.5</c:v>
                </c:pt>
                <c:pt idx="18">
                  <c:v>52003.5</c:v>
                </c:pt>
                <c:pt idx="19">
                  <c:v>52363.5</c:v>
                </c:pt>
                <c:pt idx="20">
                  <c:v>52363.5</c:v>
                </c:pt>
                <c:pt idx="21">
                  <c:v>52392.5</c:v>
                </c:pt>
                <c:pt idx="22">
                  <c:v>52392.5</c:v>
                </c:pt>
                <c:pt idx="23">
                  <c:v>52490.5</c:v>
                </c:pt>
                <c:pt idx="24">
                  <c:v>52490.5</c:v>
                </c:pt>
                <c:pt idx="25">
                  <c:v>52511.5</c:v>
                </c:pt>
                <c:pt idx="26">
                  <c:v>52511.5</c:v>
                </c:pt>
                <c:pt idx="27">
                  <c:v>52622.5</c:v>
                </c:pt>
              </c:numCache>
            </c:numRef>
          </c:xVal>
          <c:yVal>
            <c:numRef>
              <c:f>('RME sigmaC'!$G$7,'RME sigmaC'!$G$7,'RME sigmaC'!$G$8,'RME sigmaC'!$G$8,'RME sigmaC'!$G$9,'RME sigmaC'!$G$9,'RME sigmaC'!$G$10,'RME sigmaC'!$G$10,'RME sigmaC'!$G$11,'RME sigmaC'!$G$11,'RME sigmaC'!$G$12,'RME sigmaC'!$G$12,'RME sigmaC'!$G$13,'RME sigmaC'!$G$13,'RME sigmaC'!$G$14,'RME sigmaC'!$G$14,'RME sigmaC'!$G$15,'RME sigmaC'!$G$15,'RME sigmaC'!$G$16,'RME sigmaC'!$G$16,'RME sigmaC'!$G$17,'RME sigmaC'!$G$17,'RME sigmaC'!$G$18,'RME sigmaC'!$G$18,'RME sigmaC'!$G$19,'RME sigmaC'!$G$19,'RME sigmaC'!$G$20,'RME sigmaC'!$G$20)</c:f>
              <c:numCache>
                <c:formatCode>0</c:formatCode>
                <c:ptCount val="28"/>
                <c:pt idx="0">
                  <c:v>115</c:v>
                </c:pt>
                <c:pt idx="1">
                  <c:v>115</c:v>
                </c:pt>
                <c:pt idx="2">
                  <c:v>89</c:v>
                </c:pt>
                <c:pt idx="3">
                  <c:v>89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8640"/>
        <c:axId val="360567464"/>
      </c:scatterChart>
      <c:valAx>
        <c:axId val="360563936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360565504"/>
        <c:crosses val="autoZero"/>
        <c:crossBetween val="midCat"/>
      </c:valAx>
      <c:valAx>
        <c:axId val="360565504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s-ES">
                    <a:latin typeface="Swis721 LtCn BT" pitchFamily="34" charset="0"/>
                  </a:rPr>
                  <a:t>RME [-]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360563936"/>
        <c:crosses val="autoZero"/>
        <c:crossBetween val="midCat"/>
        <c:majorUnit val="10"/>
      </c:valAx>
      <c:valAx>
        <c:axId val="360567464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l-GR">
                    <a:latin typeface="Swis721 LtCn BT" pitchFamily="34" charset="0"/>
                    <a:cs typeface="Calibri"/>
                  </a:rPr>
                  <a:t>σ</a:t>
                </a:r>
                <a:r>
                  <a:rPr lang="es-ES" baseline="-25000">
                    <a:latin typeface="Swis721 LtCn BT" pitchFamily="34" charset="0"/>
                  </a:rPr>
                  <a:t>ci</a:t>
                </a:r>
                <a:r>
                  <a:rPr lang="es-ES">
                    <a:latin typeface="Swis721 LtCn BT" pitchFamily="34" charset="0"/>
                  </a:rPr>
                  <a:t> [MPa]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360568640"/>
        <c:crosses val="max"/>
        <c:crossBetween val="midCat"/>
        <c:majorUnit val="10"/>
      </c:valAx>
      <c:valAx>
        <c:axId val="3605686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s-ES">
                    <a:latin typeface="Swis721 LtCn BT" pitchFamily="34" charset="0"/>
                  </a:rPr>
                  <a:t>Pk</a:t>
                </a:r>
                <a:r>
                  <a:rPr lang="es-ES" baseline="0">
                    <a:latin typeface="Swis721 LtCn BT" pitchFamily="34" charset="0"/>
                  </a:rPr>
                  <a:t> [m]</a:t>
                </a:r>
                <a:endParaRPr lang="es-ES">
                  <a:latin typeface="Swis721 LtCn BT" pitchFamily="34" charset="0"/>
                </a:endParaRPr>
              </a:p>
            </c:rich>
          </c:tx>
          <c:overlay val="0"/>
        </c:title>
        <c:numFmt formatCode="0\+000.00" sourceLinked="1"/>
        <c:majorTickMark val="out"/>
        <c:minorTickMark val="none"/>
        <c:tickLblPos val="nextTo"/>
        <c:crossAx val="360567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Swis721 Lt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Swis721 Cn BT" pitchFamily="34" charset="0"/>
              </a:defRPr>
            </a:pPr>
            <a:r>
              <a:rPr lang="es-ES" sz="1200">
                <a:latin typeface="Swis721 Cn BT" pitchFamily="34" charset="0"/>
              </a:rPr>
              <a:t>AICA-Mules</a:t>
            </a:r>
            <a:r>
              <a:rPr lang="es-ES" sz="1200" baseline="0">
                <a:latin typeface="Swis721 Cn BT" pitchFamily="34" charset="0"/>
              </a:rPr>
              <a:t> cunicolo esplorativo, doppio scudata </a:t>
            </a:r>
            <a:endParaRPr lang="es-ES" sz="1200">
              <a:latin typeface="Swis721 Cn BT" pitchFamily="34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('Cunicolo AICA'!$A$3,'Cunicolo AICA'!$A$7,'Cunicolo AICA'!$A$10,'Cunicolo AICA'!$A$18,'Cunicolo AICA'!$A$21,'Cunicolo AICA'!$A$32)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18</c:v>
                </c:pt>
                <c:pt idx="5">
                  <c:v>29</c:v>
                </c:pt>
              </c:numCache>
            </c:numRef>
          </c:xVal>
          <c:yVal>
            <c:numRef>
              <c:f>('Cunicolo AICA'!$C$3,'Cunicolo AICA'!$C$7,'Cunicolo AICA'!$C$10,'Cunicolo AICA'!$C$18,'Cunicolo AICA'!$C$21,'Cunicolo AICA'!$C$32)</c:f>
              <c:numCache>
                <c:formatCode>General</c:formatCode>
                <c:ptCount val="6"/>
                <c:pt idx="0">
                  <c:v>0</c:v>
                </c:pt>
                <c:pt idx="1">
                  <c:v>832.9</c:v>
                </c:pt>
                <c:pt idx="2">
                  <c:v>1917.5</c:v>
                </c:pt>
                <c:pt idx="3">
                  <c:v>6001.5</c:v>
                </c:pt>
                <c:pt idx="4">
                  <c:v>6001.5</c:v>
                </c:pt>
                <c:pt idx="5">
                  <c:v>10259.9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3152"/>
        <c:axId val="360564328"/>
      </c:scatterChart>
      <c:valAx>
        <c:axId val="36056315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wis721 Cn BT" pitchFamily="34" charset="0"/>
              </a:defRPr>
            </a:pPr>
            <a:endParaRPr lang="en-US"/>
          </a:p>
        </c:txPr>
        <c:crossAx val="360564328"/>
        <c:crosses val="autoZero"/>
        <c:crossBetween val="midCat"/>
      </c:valAx>
      <c:valAx>
        <c:axId val="36056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Lunghezza scavata</a:t>
                </a:r>
                <a:r>
                  <a:rPr lang="es-ES" baseline="0">
                    <a:latin typeface="Swis721 Cn BT" pitchFamily="34" charset="0"/>
                  </a:rPr>
                  <a:t> [m]</a:t>
                </a:r>
                <a:endParaRPr lang="es-ES">
                  <a:latin typeface="Swis721 Cn BT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wis721 Cn BT" pitchFamily="34" charset="0"/>
              </a:defRPr>
            </a:pPr>
            <a:endParaRPr lang="en-US"/>
          </a:p>
        </c:txPr>
        <c:crossAx val="36056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TBM Double Shield</a:t>
            </a:r>
          </a:p>
        </c:rich>
      </c:tx>
      <c:layout>
        <c:manualLayout>
          <c:xMode val="edge"/>
          <c:yMode val="edge"/>
          <c:x val="0.31446590402614766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Factor'!$C$38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Factor'!$C$39:$C$49</c:f>
              <c:numCache>
                <c:formatCode>0.0</c:formatCode>
                <c:ptCount val="11"/>
                <c:pt idx="0">
                  <c:v>11.126666666666667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0.74958340048348049</c:v>
                </c:pt>
              </c:numCache>
            </c:numRef>
          </c:val>
        </c:ser>
        <c:ser>
          <c:idx val="1"/>
          <c:order val="1"/>
          <c:tx>
            <c:strRef>
              <c:f>'Utilization Factor'!$D$38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Factor'!$D$39:$D$49</c:f>
              <c:numCache>
                <c:formatCode>0.0</c:formatCode>
                <c:ptCount val="11"/>
                <c:pt idx="0">
                  <c:v>10.106666666666666</c:v>
                </c:pt>
                <c:pt idx="1">
                  <c:v>1.25</c:v>
                </c:pt>
                <c:pt idx="2">
                  <c:v>1.25</c:v>
                </c:pt>
                <c:pt idx="3">
                  <c:v>4</c:v>
                </c:pt>
                <c:pt idx="4">
                  <c:v>2.5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0.35838248724147448</c:v>
                </c:pt>
              </c:numCache>
            </c:numRef>
          </c:val>
        </c:ser>
        <c:ser>
          <c:idx val="2"/>
          <c:order val="2"/>
          <c:tx>
            <c:strRef>
              <c:f>'Utilization Factor'!$E$38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Factor'!$E$39:$E$49</c:f>
              <c:numCache>
                <c:formatCode>0.0</c:formatCode>
                <c:ptCount val="11"/>
                <c:pt idx="0">
                  <c:v>6.92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0.83333333333333337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1.2297856835885064</c:v>
                </c:pt>
              </c:numCache>
            </c:numRef>
          </c:val>
        </c:ser>
        <c:ser>
          <c:idx val="3"/>
          <c:order val="3"/>
          <c:tx>
            <c:strRef>
              <c:f>'Utilization Factor'!$F$38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Factor'!$F$39:$F$49</c:f>
              <c:numCache>
                <c:formatCode>0.0</c:formatCode>
                <c:ptCount val="11"/>
                <c:pt idx="0">
                  <c:v>3.5999999999999996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0.33333333333333331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985616"/>
        <c:axId val="287986008"/>
      </c:barChart>
      <c:catAx>
        <c:axId val="287985616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986008"/>
        <c:crosses val="autoZero"/>
        <c:auto val="1"/>
        <c:lblAlgn val="ctr"/>
        <c:lblOffset val="100"/>
        <c:tickMarkSkip val="1"/>
        <c:noMultiLvlLbl val="0"/>
      </c:catAx>
      <c:valAx>
        <c:axId val="287986008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28798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Factor'!$C$38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Factor'!$C$39:$C$49</c:f>
              <c:numCache>
                <c:formatCode>0.0</c:formatCode>
                <c:ptCount val="11"/>
                <c:pt idx="0">
                  <c:v>11.126666666666667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0.74958340048348049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Factor'!$D$38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Factor'!$D$39:$D$49</c:f>
              <c:numCache>
                <c:formatCode>0.0</c:formatCode>
                <c:ptCount val="11"/>
                <c:pt idx="0">
                  <c:v>10.106666666666666</c:v>
                </c:pt>
                <c:pt idx="1">
                  <c:v>1.25</c:v>
                </c:pt>
                <c:pt idx="2">
                  <c:v>1.25</c:v>
                </c:pt>
                <c:pt idx="3">
                  <c:v>4</c:v>
                </c:pt>
                <c:pt idx="4">
                  <c:v>2.5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0.35838248724147448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Factor'!$E$38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Factor'!$E$39:$E$49</c:f>
              <c:numCache>
                <c:formatCode>0.0</c:formatCode>
                <c:ptCount val="11"/>
                <c:pt idx="0">
                  <c:v>6.92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0.83333333333333337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1.2297856835885064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Factor'!$F$38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Factor'!$F$39:$F$49</c:f>
              <c:numCache>
                <c:formatCode>0.0</c:formatCode>
                <c:ptCount val="11"/>
                <c:pt idx="0">
                  <c:v>3.5999999999999996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0.33333333333333331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TBM Single Shield</a:t>
            </a:r>
          </a:p>
        </c:rich>
      </c:tx>
      <c:layout>
        <c:manualLayout>
          <c:xMode val="edge"/>
          <c:yMode val="edge"/>
          <c:x val="0.31446590402614766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Factor'!$C$21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Factor'!$C$22:$C$31</c:f>
              <c:numCache>
                <c:formatCode>0.0</c:formatCode>
                <c:ptCount val="10"/>
                <c:pt idx="0">
                  <c:v>9.8000000000000007</c:v>
                </c:pt>
                <c:pt idx="1">
                  <c:v>5.5</c:v>
                </c:pt>
                <c:pt idx="2">
                  <c:v>4</c:v>
                </c:pt>
                <c:pt idx="3">
                  <c:v>0.91666666666666663</c:v>
                </c:pt>
                <c:pt idx="4">
                  <c:v>0.24</c:v>
                </c:pt>
                <c:pt idx="5">
                  <c:v>0.7445342465753424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-7.0832661831836674E-3</c:v>
                </c:pt>
              </c:numCache>
            </c:numRef>
          </c:val>
        </c:ser>
        <c:ser>
          <c:idx val="1"/>
          <c:order val="1"/>
          <c:tx>
            <c:strRef>
              <c:f>'Utilization Factor'!$D$21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Factor'!$D$22:$D$31</c:f>
              <c:numCache>
                <c:formatCode>0.0</c:formatCode>
                <c:ptCount val="10"/>
                <c:pt idx="0">
                  <c:v>8.3000000000000007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0.24</c:v>
                </c:pt>
                <c:pt idx="5">
                  <c:v>1.4890684931506848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0.16504915390813935</c:v>
                </c:pt>
              </c:numCache>
            </c:numRef>
          </c:val>
        </c:ser>
        <c:ser>
          <c:idx val="2"/>
          <c:order val="2"/>
          <c:tx>
            <c:strRef>
              <c:f>'Utilization Factor'!$E$21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Factor'!$E$22:$E$31</c:f>
              <c:numCache>
                <c:formatCode>0.0</c:formatCode>
                <c:ptCount val="10"/>
                <c:pt idx="0">
                  <c:v>5.4</c:v>
                </c:pt>
                <c:pt idx="1">
                  <c:v>6</c:v>
                </c:pt>
                <c:pt idx="2">
                  <c:v>5</c:v>
                </c:pt>
                <c:pt idx="3">
                  <c:v>0.66666666666666663</c:v>
                </c:pt>
                <c:pt idx="4">
                  <c:v>0.24</c:v>
                </c:pt>
                <c:pt idx="5">
                  <c:v>2.8809986301369856</c:v>
                </c:pt>
                <c:pt idx="6">
                  <c:v>0.99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0.9164523502551738</c:v>
                </c:pt>
              </c:numCache>
            </c:numRef>
          </c:val>
        </c:ser>
        <c:ser>
          <c:idx val="3"/>
          <c:order val="3"/>
          <c:tx>
            <c:strRef>
              <c:f>'Utilization Factor'!$F$21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Factor'!$F$22:$F$31</c:f>
              <c:numCache>
                <c:formatCode>0.0</c:formatCode>
                <c:ptCount val="10"/>
                <c:pt idx="0">
                  <c:v>3.5999999999999996</c:v>
                </c:pt>
                <c:pt idx="1">
                  <c:v>3</c:v>
                </c:pt>
                <c:pt idx="2">
                  <c:v>6</c:v>
                </c:pt>
                <c:pt idx="3">
                  <c:v>0.33333333333333331</c:v>
                </c:pt>
                <c:pt idx="4">
                  <c:v>0.24</c:v>
                </c:pt>
                <c:pt idx="5">
                  <c:v>3.4464328767123278</c:v>
                </c:pt>
                <c:pt idx="6">
                  <c:v>1.08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3239856"/>
        <c:axId val="293244952"/>
      </c:barChart>
      <c:catAx>
        <c:axId val="293239856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44952"/>
        <c:crosses val="autoZero"/>
        <c:auto val="1"/>
        <c:lblAlgn val="ctr"/>
        <c:lblOffset val="100"/>
        <c:tickMarkSkip val="1"/>
        <c:noMultiLvlLbl val="0"/>
      </c:catAx>
      <c:valAx>
        <c:axId val="293244952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2932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Factor'!$C$21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Factor'!$C$22:$C$31</c:f>
              <c:numCache>
                <c:formatCode>0.0</c:formatCode>
                <c:ptCount val="10"/>
                <c:pt idx="0">
                  <c:v>9.8000000000000007</c:v>
                </c:pt>
                <c:pt idx="1">
                  <c:v>5.5</c:v>
                </c:pt>
                <c:pt idx="2">
                  <c:v>4</c:v>
                </c:pt>
                <c:pt idx="3">
                  <c:v>0.91666666666666663</c:v>
                </c:pt>
                <c:pt idx="4">
                  <c:v>0.24</c:v>
                </c:pt>
                <c:pt idx="5">
                  <c:v>0.7445342465753424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-7.0832661831836674E-3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image" Target="../media/image4.jpe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image" Target="../media/image3.jpeg"/><Relationship Id="rId2" Type="http://schemas.openxmlformats.org/officeDocument/2006/relationships/chart" Target="../charts/chart4.xml"/><Relationship Id="rId16" Type="http://schemas.openxmlformats.org/officeDocument/2006/relationships/image" Target="../media/image1.jpeg"/><Relationship Id="rId20" Type="http://schemas.openxmlformats.org/officeDocument/2006/relationships/image" Target="../media/image6.jpeg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image" Target="../media/image5.jpeg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123787</xdr:colOff>
      <xdr:row>24</xdr:row>
      <xdr:rowOff>190337</xdr:rowOff>
    </xdr:to>
    <xdr:pic>
      <xdr:nvPicPr>
        <xdr:cNvPr id="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7175"/>
          <a:ext cx="2409787" cy="76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0.10788</cdr:x>
      <cdr:y>0.84103</cdr:y>
    </cdr:from>
    <cdr:to>
      <cdr:x>0.21343</cdr:x>
      <cdr:y>0.88427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1003365" y="5109437"/>
          <a:ext cx="981708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0.22032</cdr:x>
      <cdr:y>0.16203</cdr:y>
    </cdr:from>
    <cdr:to>
      <cdr:x>0.4168</cdr:x>
      <cdr:y>0.20528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2049132" y="984393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0.3638</cdr:x>
      <cdr:y>0.25003</cdr:y>
    </cdr:from>
    <cdr:to>
      <cdr:x>0.56028</cdr:x>
      <cdr:y>0.29328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480000">
          <a:off x="3383691" y="151897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0.66985</cdr:x>
      <cdr:y>0.27749</cdr:y>
    </cdr:from>
    <cdr:to>
      <cdr:x>0.76678</cdr:x>
      <cdr:y>0.32074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230214" y="1685786"/>
          <a:ext cx="901535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0.11114</cdr:x>
      <cdr:y>0.36433</cdr:y>
    </cdr:from>
    <cdr:to>
      <cdr:x>0.30762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033654" y="2213374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0.40159</cdr:x>
      <cdr:y>0.42605</cdr:y>
    </cdr:from>
    <cdr:to>
      <cdr:x>0.59807</cdr:x>
      <cdr:y>0.4693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540000">
          <a:off x="3735162" y="258830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0.70165</cdr:x>
      <cdr:y>0.47996</cdr:y>
    </cdr:from>
    <cdr:to>
      <cdr:x>0.80895</cdr:x>
      <cdr:y>0.52321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6525949" y="2915818"/>
          <a:ext cx="997985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0.75837</cdr:x>
      <cdr:y>0.58504</cdr:y>
    </cdr:from>
    <cdr:to>
      <cdr:x>0.89212</cdr:x>
      <cdr:y>0.62829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680000">
          <a:off x="7053468" y="355421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0.70591</cdr:x>
      <cdr:y>0.40237</cdr:y>
    </cdr:from>
    <cdr:to>
      <cdr:x>0.90239</cdr:x>
      <cdr:y>0.44562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440000">
          <a:off x="6565608" y="2444473"/>
          <a:ext cx="1827438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0.84518</cdr:x>
      <cdr:y>0.48124</cdr:y>
    </cdr:from>
    <cdr:to>
      <cdr:x>0.94026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7860909" y="2923624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0.84776</cdr:x>
      <cdr:y>0.6625</cdr:y>
    </cdr:from>
    <cdr:to>
      <cdr:x>0.94284</cdr:x>
      <cdr:y>0.70575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7884912" y="4024842"/>
          <a:ext cx="88432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0.25675</cdr:x>
      <cdr:y>0.65131</cdr:y>
    </cdr:from>
    <cdr:to>
      <cdr:x>0.45323</cdr:x>
      <cdr:y>0.69456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780000">
          <a:off x="2387996" y="395684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0.86475</cdr:y>
    </cdr:from>
    <cdr:to>
      <cdr:x>0.4627</cdr:x>
      <cdr:y>0.908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780000">
          <a:off x="2476081" y="5253521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2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0.72186</cdr:x>
      <cdr:y>0.27276</cdr:y>
    </cdr:from>
    <cdr:to>
      <cdr:x>0.83523</cdr:x>
      <cdr:y>0.316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724077" y="1661983"/>
          <a:ext cx="1056007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403.5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0.72206</cdr:x>
      <cdr:y>0.22758</cdr:y>
    </cdr:from>
    <cdr:to>
      <cdr:x>0.83609</cdr:x>
      <cdr:y>0.27083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6725871" y="1386714"/>
          <a:ext cx="1062217" cy="263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467.7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0.7218</cdr:x>
      <cdr:y>0.18176</cdr:y>
    </cdr:from>
    <cdr:to>
      <cdr:x>0.83523</cdr:x>
      <cdr:y>0.225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6723529" y="1107507"/>
          <a:ext cx="1056554" cy="2634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469.3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0.61353</cdr:x>
      <cdr:y>0.90816</cdr:y>
    </cdr:from>
    <cdr:to>
      <cdr:x>0.72095</cdr:x>
      <cdr:y>0.9514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5714999" y="5533574"/>
          <a:ext cx="1000527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exc,DS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29.1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0.73013</cdr:x>
      <cdr:y>0.90801</cdr:y>
    </cdr:from>
    <cdr:to>
      <cdr:x>0.83781</cdr:x>
      <cdr:y>0.95125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801099" y="5532688"/>
          <a:ext cx="1002999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exc,S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30.8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0.49554</cdr:x>
      <cdr:y>0.90761</cdr:y>
    </cdr:from>
    <cdr:to>
      <cdr:x>0.60322</cdr:x>
      <cdr:y>0.95086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615924" y="5530229"/>
          <a:ext cx="1003025" cy="263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exc,OPEN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27.2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0.59178</cdr:x>
      <cdr:y>0.18299</cdr:y>
    </cdr:from>
    <cdr:to>
      <cdr:x>0.69946</cdr:x>
      <cdr:y>0.22623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5512409" y="1114970"/>
          <a:ext cx="1003011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450 m/M</a:t>
          </a:r>
        </a:p>
      </cdr:txBody>
    </cdr:sp>
  </cdr:relSizeAnchor>
  <cdr:relSizeAnchor xmlns:cdr="http://schemas.openxmlformats.org/drawingml/2006/chartDrawing">
    <cdr:from>
      <cdr:x>0.37009</cdr:x>
      <cdr:y>0.90816</cdr:y>
    </cdr:from>
    <cdr:to>
      <cdr:x>0.4855</cdr:x>
      <cdr:y>0.9514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447311" y="5533573"/>
          <a:ext cx="1075063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exc,design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28.8 M</a:t>
          </a:r>
        </a:p>
      </cdr:txBody>
    </cdr:sp>
  </cdr:relSizeAnchor>
  <cdr:relSizeAnchor xmlns:cdr="http://schemas.openxmlformats.org/drawingml/2006/chartDrawing">
    <cdr:from>
      <cdr:x>0.42715</cdr:x>
      <cdr:y>0.8173</cdr:y>
    </cdr:from>
    <cdr:to>
      <cdr:x>0.63158</cdr:x>
      <cdr:y>0.86054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3978856" y="4979960"/>
          <a:ext cx="1904232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ysClr val="windowText" lastClr="000000"/>
              </a:solidFill>
              <a:latin typeface="Swis721 Cn BT" pitchFamily="34" charset="0"/>
            </a:rPr>
            <a:t>Start TBM GL Nord = 30 M circa</a:t>
          </a: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13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0.06828</cdr:x>
      <cdr:y>0.6996</cdr:y>
    </cdr:from>
    <cdr:to>
      <cdr:x>0.35781</cdr:x>
      <cdr:y>0.96777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35107" y="4250231"/>
          <a:ext cx="2692844" cy="162915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0.56141</cdr:x>
      <cdr:y>0.92272</cdr:y>
    </cdr:from>
    <cdr:to>
      <cdr:x>0.66523</cdr:x>
      <cdr:y>0.96596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5221569" y="5605701"/>
          <a:ext cx="965678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tot,DS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49.2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0.675</cdr:x>
      <cdr:y>0.92273</cdr:y>
    </cdr:from>
    <cdr:to>
      <cdr:x>0.77883</cdr:x>
      <cdr:y>0.96597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278119" y="5605743"/>
          <a:ext cx="965683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tot,S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50.8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0.44609</cdr:x>
      <cdr:y>0.92272</cdr:y>
    </cdr:from>
    <cdr:to>
      <cdr:x>0.55077</cdr:x>
      <cdr:y>0.96597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49009" y="5605690"/>
          <a:ext cx="973682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</a:t>
          </a:r>
          <a:r>
            <a:rPr lang="es-ES" sz="1000" b="1" baseline="-25000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tot,OPEN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58.4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3018" y="968385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Transport &amp; Assembly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199596" y="1550996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TBM GL 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0.59071</cdr:x>
      <cdr:y>0.31343</cdr:y>
    </cdr:from>
    <cdr:to>
      <cdr:x>0.68764</cdr:x>
      <cdr:y>0.35668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494451" y="1902905"/>
          <a:ext cx="901581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Disassembly &amp; Treansport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0.11544</cdr:x>
      <cdr:y>0.36433</cdr:y>
    </cdr:from>
    <cdr:to>
      <cdr:x>0.31192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073694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Assembly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0.27785</cdr:x>
      <cdr:y>0.5654</cdr:y>
    </cdr:from>
    <cdr:to>
      <cdr:x>0.47433</cdr:x>
      <cdr:y>0.60865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2584255" y="343493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3146" y="2636328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TBM GL Ovest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6998" y="357822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0.60403</cdr:x>
      <cdr:y>0.43182</cdr:y>
    </cdr:from>
    <cdr:to>
      <cdr:x>0.80051</cdr:x>
      <cdr:y>0.47507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618352" y="2621661"/>
          <a:ext cx="1827533" cy="26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44271" y="2923624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Bypasses GL 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0.74459</cdr:x>
      <cdr:y>0.67041</cdr:y>
    </cdr:from>
    <cdr:to>
      <cdr:x>0.83967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925661" y="4070161"/>
          <a:ext cx="884374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By passes GL Ovest 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0.29663</cdr:x>
      <cdr:y>0.7533</cdr:y>
    </cdr:from>
    <cdr:to>
      <cdr:x>0.52264</cdr:x>
      <cdr:y>0.79655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2759087" y="4573369"/>
          <a:ext cx="2102203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0.18016</cdr:x>
      <cdr:y>0.65658</cdr:y>
    </cdr:from>
    <cdr:to>
      <cdr:x>0.37664</cdr:x>
      <cdr:y>0.69983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1675622" y="398886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81" y="5157471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0.61565</cdr:x>
      <cdr:y>0.48669</cdr:y>
    </cdr:from>
    <cdr:to>
      <cdr:x>0.71258</cdr:x>
      <cdr:y>0.52994</cdr:y>
    </cdr:to>
    <cdr:sp macro="" textlink="">
      <cdr:nvSpPr>
        <cdr:cNvPr id="25" name="1 CuadroTexto"/>
        <cdr:cNvSpPr txBox="1"/>
      </cdr:nvSpPr>
      <cdr:spPr>
        <a:xfrm xmlns:a="http://schemas.openxmlformats.org/drawingml/2006/main">
          <a:off x="5726365" y="2954796"/>
          <a:ext cx="901581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Disassembly &amp; Treansport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0.44609</cdr:x>
      <cdr:y>0.92272</cdr:y>
    </cdr:from>
    <cdr:to>
      <cdr:x>0.55077</cdr:x>
      <cdr:y>0.96597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49009" y="5605690"/>
          <a:ext cx="973682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</a:t>
          </a:r>
          <a:r>
            <a:rPr lang="es-ES" sz="1000" b="1" baseline="-25000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tot,OPEN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58.4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468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0.66093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726" y="1837894"/>
          <a:ext cx="90150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0.07413</cdr:x>
      <cdr:y>0.36433</cdr:y>
    </cdr:from>
    <cdr:to>
      <cdr:x>0.27061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689492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8720" y="2644163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468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0.58633</cdr:x>
      <cdr:y>0.47205</cdr:y>
    </cdr:from>
    <cdr:to>
      <cdr:x>0.69363</cdr:x>
      <cdr:y>0.5153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453386" y="2867793"/>
          <a:ext cx="99800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7025" y="3578196"/>
          <a:ext cx="12439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4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0.25847</cdr:x>
      <cdr:y>0.63155</cdr:y>
    </cdr:from>
    <cdr:to>
      <cdr:x>0.45495</cdr:x>
      <cdr:y>0.6748</cdr:y>
    </cdr:to>
    <cdr:sp macro="" textlink="">
      <cdr:nvSpPr>
        <cdr:cNvPr id="34" name="1 CuadroTexto"/>
        <cdr:cNvSpPr txBox="1"/>
      </cdr:nvSpPr>
      <cdr:spPr>
        <a:xfrm xmlns:a="http://schemas.openxmlformats.org/drawingml/2006/main" rot="-900000">
          <a:off x="2404005" y="383678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36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0.44867</cdr:x>
      <cdr:y>0.92273</cdr:y>
    </cdr:from>
    <cdr:to>
      <cdr:x>0.5525</cdr:x>
      <cdr:y>0.96597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4172990" y="5605759"/>
          <a:ext cx="965711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tot,S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50.2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404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0.67298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697" y="1837866"/>
          <a:ext cx="1013589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0.0836</cdr:x>
      <cdr:y>0.36301</cdr:y>
    </cdr:from>
    <cdr:to>
      <cdr:x>0.28008</cdr:x>
      <cdr:y>0.40626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777539" y="2205370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2.8 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0.18577</cdr:x>
      <cdr:y>0.60493</cdr:y>
    </cdr:from>
    <cdr:to>
      <cdr:x>0.38225</cdr:x>
      <cdr:y>0.64818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1727800" y="3675038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0.39557</cdr:x>
      <cdr:y>0.44185</cdr:y>
    </cdr:from>
    <cdr:to>
      <cdr:x>0.59205</cdr:x>
      <cdr:y>0.4851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679132" y="2684352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404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0.59321</cdr:x>
      <cdr:y>0.47468</cdr:y>
    </cdr:from>
    <cdr:to>
      <cdr:x>0.69793</cdr:x>
      <cdr:y>0.51793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517419" y="2883801"/>
          <a:ext cx="97398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3.2 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7025" y="3578196"/>
          <a:ext cx="12439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 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0.21301</cdr:x>
      <cdr:y>0.79189</cdr:y>
    </cdr:from>
    <cdr:to>
      <cdr:x>0.43902</cdr:x>
      <cdr:y>0.83514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1981139" y="4810889"/>
          <a:ext cx="21020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0.25847</cdr:x>
      <cdr:y>0.63155</cdr:y>
    </cdr:from>
    <cdr:to>
      <cdr:x>0.45495</cdr:x>
      <cdr:y>0.6748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2404005" y="383678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4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2</xdr:row>
      <xdr:rowOff>89647</xdr:rowOff>
    </xdr:from>
    <xdr:to>
      <xdr:col>14</xdr:col>
      <xdr:colOff>694763</xdr:colOff>
      <xdr:row>24</xdr:row>
      <xdr:rowOff>143435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78441</xdr:colOff>
      <xdr:row>25</xdr:row>
      <xdr:rowOff>15688</xdr:rowOff>
    </xdr:from>
    <xdr:to>
      <xdr:col>14</xdr:col>
      <xdr:colOff>701208</xdr:colOff>
      <xdr:row>47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10646</xdr:colOff>
      <xdr:row>44</xdr:row>
      <xdr:rowOff>49336</xdr:rowOff>
    </xdr:from>
    <xdr:to>
      <xdr:col>2</xdr:col>
      <xdr:colOff>1052195</xdr:colOff>
      <xdr:row>47</xdr:row>
      <xdr:rowOff>138617</xdr:rowOff>
    </xdr:to>
    <xdr:pic>
      <xdr:nvPicPr>
        <xdr:cNvPr id="4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46" y="8834748"/>
          <a:ext cx="1747520" cy="660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151841</xdr:colOff>
      <xdr:row>25</xdr:row>
      <xdr:rowOff>112088</xdr:rowOff>
    </xdr:from>
    <xdr:to>
      <xdr:col>8</xdr:col>
      <xdr:colOff>537882</xdr:colOff>
      <xdr:row>27</xdr:row>
      <xdr:rowOff>109162</xdr:rowOff>
    </xdr:to>
    <xdr:pic>
      <xdr:nvPicPr>
        <xdr:cNvPr id="7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08135" y="5076294"/>
          <a:ext cx="1148041" cy="43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91329</xdr:colOff>
      <xdr:row>2</xdr:row>
      <xdr:rowOff>118812</xdr:rowOff>
    </xdr:from>
    <xdr:to>
      <xdr:col>8</xdr:col>
      <xdr:colOff>477370</xdr:colOff>
      <xdr:row>4</xdr:row>
      <xdr:rowOff>127091</xdr:rowOff>
    </xdr:to>
    <xdr:pic>
      <xdr:nvPicPr>
        <xdr:cNvPr id="8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747623" y="567047"/>
          <a:ext cx="1148041" cy="43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0.78289</cdr:x>
      <cdr:y>1.64117E-7</cdr:y>
    </cdr:from>
    <cdr:to>
      <cdr:x>1</cdr:x>
      <cdr:y>0.10509</cdr:y>
    </cdr:to>
    <cdr:pic>
      <cdr:nvPicPr>
        <cdr:cNvPr id="5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292512" y="1"/>
          <a:ext cx="2022378" cy="64033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0.44609</cdr:x>
      <cdr:y>0.92272</cdr:y>
    </cdr:from>
    <cdr:to>
      <cdr:x>0.54991</cdr:x>
      <cdr:y>0.96596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149043" y="5605697"/>
          <a:ext cx="965618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tot,DS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49.2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469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0.69191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697" y="1837866"/>
          <a:ext cx="118968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3.5M 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0.09393</cdr:x>
      <cdr:y>0.36433</cdr:y>
    </cdr:from>
    <cdr:to>
      <cdr:x>0.29041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873589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0.18663</cdr:x>
      <cdr:y>0.59044</cdr:y>
    </cdr:from>
    <cdr:to>
      <cdr:x>0.38311</cdr:x>
      <cdr:y>0.63369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1735810" y="3587010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8720" y="2644163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469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0.59063</cdr:x>
      <cdr:y>0.47205</cdr:y>
    </cdr:from>
    <cdr:to>
      <cdr:x>0.69535</cdr:x>
      <cdr:y>0.5153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493407" y="2867793"/>
          <a:ext cx="97398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o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0.65682</cdr:x>
      <cdr:y>0.59821</cdr:y>
    </cdr:from>
    <cdr:to>
      <cdr:x>0.79057</cdr:x>
      <cdr:y>0.64146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08972" y="363425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 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0.21042</cdr:x>
      <cdr:y>0.76685</cdr:y>
    </cdr:from>
    <cdr:to>
      <cdr:x>0.43643</cdr:x>
      <cdr:y>0.8101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1957136" y="4658780"/>
          <a:ext cx="2102092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0.25761</cdr:x>
      <cdr:y>0.62628</cdr:y>
    </cdr:from>
    <cdr:to>
      <cdr:x>0.45409</cdr:x>
      <cdr:y>0.66953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2396031" y="380476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57150</xdr:colOff>
      <xdr:row>29</xdr:row>
      <xdr:rowOff>9525</xdr:rowOff>
    </xdr:from>
    <xdr:to>
      <xdr:col>30</xdr:col>
      <xdr:colOff>153483</xdr:colOff>
      <xdr:row>34</xdr:row>
      <xdr:rowOff>115931</xdr:rowOff>
    </xdr:to>
    <xdr:pic>
      <xdr:nvPicPr>
        <xdr:cNvPr id="5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82025" y="5181600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29</xdr:row>
      <xdr:rowOff>0</xdr:rowOff>
    </xdr:from>
    <xdr:to>
      <xdr:col>64</xdr:col>
      <xdr:colOff>41904</xdr:colOff>
      <xdr:row>34</xdr:row>
      <xdr:rowOff>106406</xdr:rowOff>
    </xdr:to>
    <xdr:pic>
      <xdr:nvPicPr>
        <xdr:cNvPr id="6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240625" y="5172075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0.00836</cdr:y>
    </cdr:from>
    <cdr:to>
      <cdr:x>0.12306</cdr:x>
      <cdr:y>0.07644</cdr:y>
    </cdr:to>
    <cdr:pic>
      <cdr:nvPicPr>
        <cdr:cNvPr id="2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1" y="50801"/>
          <a:ext cx="1093800" cy="41359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0.07487</cdr:x>
      <cdr:y>0.61846</cdr:y>
    </cdr:from>
    <cdr:to>
      <cdr:x>0.4957</cdr:x>
      <cdr:y>0.88722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96367" y="3757234"/>
          <a:ext cx="3914054" cy="1632773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185737</xdr:rowOff>
    </xdr:from>
    <xdr:to>
      <xdr:col>11</xdr:col>
      <xdr:colOff>23812</xdr:colOff>
      <xdr:row>15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0.15486</cdr:x>
      <cdr:y>0.6713</cdr:y>
    </cdr:from>
    <cdr:to>
      <cdr:x>0.29479</cdr:x>
      <cdr:y>0.76708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08025" y="18415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208 m/M</a:t>
          </a:r>
        </a:p>
      </cdr:txBody>
    </cdr:sp>
  </cdr:relSizeAnchor>
  <cdr:relSizeAnchor xmlns:cdr="http://schemas.openxmlformats.org/drawingml/2006/chartDrawing">
    <cdr:from>
      <cdr:x>0.29444</cdr:x>
      <cdr:y>0.69907</cdr:y>
    </cdr:from>
    <cdr:to>
      <cdr:x>0.43438</cdr:x>
      <cdr:y>0.79486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346200" y="19177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362 m/M</a:t>
          </a:r>
        </a:p>
      </cdr:txBody>
    </cdr:sp>
  </cdr:relSizeAnchor>
  <cdr:relSizeAnchor xmlns:cdr="http://schemas.openxmlformats.org/drawingml/2006/chartDrawing">
    <cdr:from>
      <cdr:x>0.35069</cdr:x>
      <cdr:y>0.48727</cdr:y>
    </cdr:from>
    <cdr:to>
      <cdr:x>0.49063</cdr:x>
      <cdr:y>0.58305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603375" y="1336675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511 m/M</a:t>
          </a:r>
        </a:p>
      </cdr:txBody>
    </cdr:sp>
  </cdr:relSizeAnchor>
  <cdr:relSizeAnchor xmlns:cdr="http://schemas.openxmlformats.org/drawingml/2006/chartDrawing">
    <cdr:from>
      <cdr:x>0.55278</cdr:x>
      <cdr:y>0.35532</cdr:y>
    </cdr:from>
    <cdr:to>
      <cdr:x>0.69271</cdr:x>
      <cdr:y>0.45111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527300" y="974725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0 m/M</a:t>
          </a:r>
        </a:p>
      </cdr:txBody>
    </cdr:sp>
  </cdr:relSizeAnchor>
  <cdr:relSizeAnchor xmlns:cdr="http://schemas.openxmlformats.org/drawingml/2006/chartDrawing">
    <cdr:from>
      <cdr:x>0.67569</cdr:x>
      <cdr:y>0.26157</cdr:y>
    </cdr:from>
    <cdr:to>
      <cdr:x>0.81563</cdr:x>
      <cdr:y>0.35736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3089275" y="71755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422 m/M</a:t>
          </a:r>
        </a:p>
      </cdr:txBody>
    </cdr:sp>
  </cdr:relSizeAnchor>
  <cdr:relSizeAnchor xmlns:cdr="http://schemas.openxmlformats.org/drawingml/2006/chartDrawing">
    <cdr:from>
      <cdr:x>0.16944</cdr:x>
      <cdr:y>0.44907</cdr:y>
    </cdr:from>
    <cdr:to>
      <cdr:x>0.30938</cdr:x>
      <cdr:y>0.54486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774700" y="12319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Learning curve</a:t>
          </a:r>
        </a:p>
      </cdr:txBody>
    </cdr:sp>
  </cdr:relSizeAnchor>
  <cdr:relSizeAnchor xmlns:cdr="http://schemas.openxmlformats.org/drawingml/2006/chartDrawing">
    <cdr:from>
      <cdr:x>0.77569</cdr:x>
      <cdr:y>0.34143</cdr:y>
    </cdr:from>
    <cdr:to>
      <cdr:x>0.98958</cdr:x>
      <cdr:y>0.55035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3546475" y="936623"/>
          <a:ext cx="977900" cy="573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Utilizzo più frequente come shield </a:t>
          </a:r>
        </a:p>
      </cdr:txBody>
    </cdr:sp>
  </cdr:relSizeAnchor>
  <cdr:relSizeAnchor xmlns:cdr="http://schemas.openxmlformats.org/drawingml/2006/chartDrawing">
    <cdr:from>
      <cdr:x>0.53403</cdr:x>
      <cdr:y>0.26852</cdr:y>
    </cdr:from>
    <cdr:to>
      <cdr:x>0.67396</cdr:x>
      <cdr:y>0.3643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2441585" y="736598"/>
          <a:ext cx="639760" cy="262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Collasso</a:t>
          </a:r>
        </a:p>
      </cdr:txBody>
    </cdr:sp>
  </cdr:relSizeAnchor>
  <cdr:relSizeAnchor xmlns:cdr="http://schemas.openxmlformats.org/drawingml/2006/chartDrawing">
    <cdr:from>
      <cdr:x>0.43819</cdr:x>
      <cdr:y>0.56019</cdr:y>
    </cdr:from>
    <cdr:to>
      <cdr:x>0.68229</cdr:x>
      <cdr:y>0.76911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2003425" y="1536700"/>
          <a:ext cx="1116013" cy="573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Utilizzo prevalente come double shield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10646</xdr:colOff>
      <xdr:row>90</xdr:row>
      <xdr:rowOff>134472</xdr:rowOff>
    </xdr:from>
    <xdr:to>
      <xdr:col>7</xdr:col>
      <xdr:colOff>2790265</xdr:colOff>
      <xdr:row>113</xdr:row>
      <xdr:rowOff>143997</xdr:rowOff>
    </xdr:to>
    <xdr:graphicFrame macro="">
      <xdr:nvGraphicFramePr>
        <xdr:cNvPr id="1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47626</xdr:colOff>
      <xdr:row>20</xdr:row>
      <xdr:rowOff>89647</xdr:rowOff>
    </xdr:from>
    <xdr:to>
      <xdr:col>11</xdr:col>
      <xdr:colOff>638735</xdr:colOff>
      <xdr:row>38</xdr:row>
      <xdr:rowOff>145676</xdr:rowOff>
    </xdr:to>
    <xdr:graphicFrame macro="">
      <xdr:nvGraphicFramePr>
        <xdr:cNvPr id="1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757518</xdr:colOff>
      <xdr:row>39</xdr:row>
      <xdr:rowOff>56028</xdr:rowOff>
    </xdr:from>
    <xdr:to>
      <xdr:col>15</xdr:col>
      <xdr:colOff>605118</xdr:colOff>
      <xdr:row>57</xdr:row>
      <xdr:rowOff>112059</xdr:rowOff>
    </xdr:to>
    <xdr:graphicFrame macro="">
      <xdr:nvGraphicFramePr>
        <xdr:cNvPr id="1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1681</xdr:colOff>
      <xdr:row>39</xdr:row>
      <xdr:rowOff>56029</xdr:rowOff>
    </xdr:from>
    <xdr:to>
      <xdr:col>19</xdr:col>
      <xdr:colOff>616323</xdr:colOff>
      <xdr:row>57</xdr:row>
      <xdr:rowOff>112059</xdr:rowOff>
    </xdr:to>
    <xdr:graphicFrame macro="">
      <xdr:nvGraphicFramePr>
        <xdr:cNvPr id="1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2801</xdr:colOff>
      <xdr:row>39</xdr:row>
      <xdr:rowOff>56030</xdr:rowOff>
    </xdr:from>
    <xdr:to>
      <xdr:col>23</xdr:col>
      <xdr:colOff>582706</xdr:colOff>
      <xdr:row>57</xdr:row>
      <xdr:rowOff>112059</xdr:rowOff>
    </xdr:to>
    <xdr:graphicFrame macro="">
      <xdr:nvGraphicFramePr>
        <xdr:cNvPr id="1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627529</xdr:colOff>
      <xdr:row>63</xdr:row>
      <xdr:rowOff>154183</xdr:rowOff>
    </xdr:from>
    <xdr:to>
      <xdr:col>7</xdr:col>
      <xdr:colOff>6017559</xdr:colOff>
      <xdr:row>85</xdr:row>
      <xdr:rowOff>146388</xdr:rowOff>
    </xdr:to>
    <xdr:graphicFrame macro="">
      <xdr:nvGraphicFramePr>
        <xdr:cNvPr id="20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39426</xdr:colOff>
      <xdr:row>39</xdr:row>
      <xdr:rowOff>53330</xdr:rowOff>
    </xdr:from>
    <xdr:to>
      <xdr:col>11</xdr:col>
      <xdr:colOff>638735</xdr:colOff>
      <xdr:row>57</xdr:row>
      <xdr:rowOff>123264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760525</xdr:colOff>
      <xdr:row>20</xdr:row>
      <xdr:rowOff>75742</xdr:rowOff>
    </xdr:from>
    <xdr:to>
      <xdr:col>15</xdr:col>
      <xdr:colOff>593912</xdr:colOff>
      <xdr:row>38</xdr:row>
      <xdr:rowOff>134469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15894</xdr:colOff>
      <xdr:row>20</xdr:row>
      <xdr:rowOff>67949</xdr:rowOff>
    </xdr:from>
    <xdr:to>
      <xdr:col>19</xdr:col>
      <xdr:colOff>605118</xdr:colOff>
      <xdr:row>38</xdr:row>
      <xdr:rowOff>123264</xdr:rowOff>
    </xdr:to>
    <xdr:graphicFrame macro="">
      <xdr:nvGraphicFramePr>
        <xdr:cNvPr id="2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756602</xdr:colOff>
      <xdr:row>20</xdr:row>
      <xdr:rowOff>67950</xdr:rowOff>
    </xdr:from>
    <xdr:to>
      <xdr:col>23</xdr:col>
      <xdr:colOff>582706</xdr:colOff>
      <xdr:row>38</xdr:row>
      <xdr:rowOff>123265</xdr:rowOff>
    </xdr:to>
    <xdr:graphicFrame macro="">
      <xdr:nvGraphicFramePr>
        <xdr:cNvPr id="24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64</xdr:row>
      <xdr:rowOff>8507</xdr:rowOff>
    </xdr:from>
    <xdr:to>
      <xdr:col>5</xdr:col>
      <xdr:colOff>221672</xdr:colOff>
      <xdr:row>86</xdr:row>
      <xdr:rowOff>712</xdr:rowOff>
    </xdr:to>
    <xdr:graphicFrame macro="">
      <xdr:nvGraphicFramePr>
        <xdr:cNvPr id="25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39426</xdr:colOff>
      <xdr:row>1</xdr:row>
      <xdr:rowOff>152502</xdr:rowOff>
    </xdr:from>
    <xdr:to>
      <xdr:col>11</xdr:col>
      <xdr:colOff>627529</xdr:colOff>
      <xdr:row>20</xdr:row>
      <xdr:rowOff>33618</xdr:rowOff>
    </xdr:to>
    <xdr:graphicFrame macro="">
      <xdr:nvGraphicFramePr>
        <xdr:cNvPr id="26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760523</xdr:colOff>
      <xdr:row>1</xdr:row>
      <xdr:rowOff>152502</xdr:rowOff>
    </xdr:from>
    <xdr:to>
      <xdr:col>15</xdr:col>
      <xdr:colOff>582704</xdr:colOff>
      <xdr:row>20</xdr:row>
      <xdr:rowOff>33618</xdr:rowOff>
    </xdr:to>
    <xdr:graphicFrame macro="">
      <xdr:nvGraphicFramePr>
        <xdr:cNvPr id="2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15894</xdr:colOff>
      <xdr:row>1</xdr:row>
      <xdr:rowOff>156883</xdr:rowOff>
    </xdr:from>
    <xdr:to>
      <xdr:col>19</xdr:col>
      <xdr:colOff>593912</xdr:colOff>
      <xdr:row>20</xdr:row>
      <xdr:rowOff>33617</xdr:rowOff>
    </xdr:to>
    <xdr:graphicFrame macro="">
      <xdr:nvGraphicFramePr>
        <xdr:cNvPr id="2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756601</xdr:colOff>
      <xdr:row>1</xdr:row>
      <xdr:rowOff>156883</xdr:rowOff>
    </xdr:from>
    <xdr:to>
      <xdr:col>23</xdr:col>
      <xdr:colOff>582706</xdr:colOff>
      <xdr:row>20</xdr:row>
      <xdr:rowOff>44825</xdr:rowOff>
    </xdr:to>
    <xdr:graphicFrame macro="">
      <xdr:nvGraphicFramePr>
        <xdr:cNvPr id="2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</xdr:col>
      <xdr:colOff>3384177</xdr:colOff>
      <xdr:row>51</xdr:row>
      <xdr:rowOff>50109</xdr:rowOff>
    </xdr:from>
    <xdr:to>
      <xdr:col>7</xdr:col>
      <xdr:colOff>5680785</xdr:colOff>
      <xdr:row>56</xdr:row>
      <xdr:rowOff>100485</xdr:rowOff>
    </xdr:to>
    <xdr:pic>
      <xdr:nvPicPr>
        <xdr:cNvPr id="30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63736" y="8252815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51547</xdr:colOff>
      <xdr:row>90</xdr:row>
      <xdr:rowOff>152402</xdr:rowOff>
    </xdr:from>
    <xdr:to>
      <xdr:col>2</xdr:col>
      <xdr:colOff>190458</xdr:colOff>
      <xdr:row>93</xdr:row>
      <xdr:rowOff>22412</xdr:rowOff>
    </xdr:to>
    <xdr:pic>
      <xdr:nvPicPr>
        <xdr:cNvPr id="31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21106" y="14585578"/>
          <a:ext cx="900911" cy="340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6724</xdr:colOff>
      <xdr:row>64</xdr:row>
      <xdr:rowOff>29138</xdr:rowOff>
    </xdr:from>
    <xdr:to>
      <xdr:col>0</xdr:col>
      <xdr:colOff>840441</xdr:colOff>
      <xdr:row>66</xdr:row>
      <xdr:rowOff>30623</xdr:rowOff>
    </xdr:to>
    <xdr:pic>
      <xdr:nvPicPr>
        <xdr:cNvPr id="3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724" y="10383373"/>
          <a:ext cx="833717" cy="31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667872</xdr:colOff>
      <xdr:row>64</xdr:row>
      <xdr:rowOff>29138</xdr:rowOff>
    </xdr:from>
    <xdr:to>
      <xdr:col>7</xdr:col>
      <xdr:colOff>520153</xdr:colOff>
      <xdr:row>66</xdr:row>
      <xdr:rowOff>11206</xdr:rowOff>
    </xdr:to>
    <xdr:pic>
      <xdr:nvPicPr>
        <xdr:cNvPr id="33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85431" y="10383373"/>
          <a:ext cx="782369" cy="295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224118</xdr:colOff>
      <xdr:row>0</xdr:row>
      <xdr:rowOff>33618</xdr:rowOff>
    </xdr:from>
    <xdr:to>
      <xdr:col>23</xdr:col>
      <xdr:colOff>425226</xdr:colOff>
      <xdr:row>1</xdr:row>
      <xdr:rowOff>140058</xdr:rowOff>
    </xdr:to>
    <xdr:pic>
      <xdr:nvPicPr>
        <xdr:cNvPr id="34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756471" y="33618"/>
          <a:ext cx="963108" cy="36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152400</xdr:colOff>
      <xdr:row>43</xdr:row>
      <xdr:rowOff>142875</xdr:rowOff>
    </xdr:from>
    <xdr:to>
      <xdr:col>31</xdr:col>
      <xdr:colOff>19012</xdr:colOff>
      <xdr:row>48</xdr:row>
      <xdr:rowOff>142712</xdr:rowOff>
    </xdr:to>
    <xdr:pic>
      <xdr:nvPicPr>
        <xdr:cNvPr id="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800850"/>
          <a:ext cx="2409787" cy="76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</xdr:colOff>
      <xdr:row>52</xdr:row>
      <xdr:rowOff>172809</xdr:rowOff>
    </xdr:from>
    <xdr:to>
      <xdr:col>18</xdr:col>
      <xdr:colOff>40822</xdr:colOff>
      <xdr:row>76</xdr:row>
      <xdr:rowOff>81643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0.00433</cdr:x>
      <cdr:y>0.00418</cdr:y>
    </cdr:from>
    <cdr:to>
      <cdr:x>0.1615</cdr:x>
      <cdr:y>0.09196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19050"/>
          <a:ext cx="1038095" cy="400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0.57057</cdr:x>
      <cdr:y>0.88211</cdr:y>
    </cdr:from>
    <cdr:to>
      <cdr:x>0.70549</cdr:x>
      <cdr:y>0.92535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306787" y="5358985"/>
          <a:ext cx="1254925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S,design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422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0.57057</cdr:x>
      <cdr:y>0.83957</cdr:y>
    </cdr:from>
    <cdr:to>
      <cdr:x>0.70568</cdr:x>
      <cdr:y>0.88282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5306787" y="5100546"/>
          <a:ext cx="1256692" cy="26275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OPEN,design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457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0.57057</cdr:x>
      <cdr:y>0.9255</cdr:y>
    </cdr:from>
    <cdr:to>
      <cdr:x>0.70549</cdr:x>
      <cdr:y>0.96874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5306787" y="5622587"/>
          <a:ext cx="1254925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DS,design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395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7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0.71206</cdr:x>
      <cdr:y>0.88329</cdr:y>
    </cdr:from>
    <cdr:to>
      <cdr:x>0.82543</cdr:x>
      <cdr:y>0.92653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6622808" y="5366145"/>
          <a:ext cx="1054441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404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0.7114</cdr:x>
      <cdr:y>0.83943</cdr:y>
    </cdr:from>
    <cdr:to>
      <cdr:x>0.82543</cdr:x>
      <cdr:y>0.88268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6616664" y="5099671"/>
          <a:ext cx="1060579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468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0.712</cdr:x>
      <cdr:y>0.92668</cdr:y>
    </cdr:from>
    <cdr:to>
      <cdr:x>0.82543</cdr:x>
      <cdr:y>0.96992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6622250" y="5629730"/>
          <a:ext cx="1054999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470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8" sqref="J18"/>
    </sheetView>
  </sheetViews>
  <sheetFormatPr defaultColWidth="11.42578125" defaultRowHeight="15" x14ac:dyDescent="0.25"/>
  <cols>
    <col min="1" max="16384" width="11.42578125" style="1"/>
  </cols>
  <sheetData>
    <row r="1" spans="1:10" x14ac:dyDescent="0.25">
      <c r="B1" s="1" t="s">
        <v>24</v>
      </c>
    </row>
    <row r="3" spans="1:10" ht="15.75" thickBot="1" x14ac:dyDescent="0.3">
      <c r="B3" s="1" t="s">
        <v>42</v>
      </c>
      <c r="I3" s="1" t="s">
        <v>43</v>
      </c>
    </row>
    <row r="4" spans="1:10" ht="17.25" thickBot="1" x14ac:dyDescent="0.3">
      <c r="B4" s="516" t="s">
        <v>5</v>
      </c>
      <c r="C4" s="517"/>
      <c r="D4" s="518" t="s">
        <v>32</v>
      </c>
      <c r="E4" s="519"/>
      <c r="I4" s="2" t="s">
        <v>79</v>
      </c>
      <c r="J4" s="2" t="s">
        <v>102</v>
      </c>
    </row>
    <row r="5" spans="1:10" ht="15.75" thickBot="1" x14ac:dyDescent="0.3">
      <c r="B5" s="3" t="s">
        <v>23</v>
      </c>
      <c r="C5" s="4" t="s">
        <v>25</v>
      </c>
      <c r="D5" s="3" t="s">
        <v>23</v>
      </c>
      <c r="E5" s="4" t="s">
        <v>25</v>
      </c>
      <c r="I5" s="5" t="s">
        <v>41</v>
      </c>
      <c r="J5" s="5" t="s">
        <v>68</v>
      </c>
    </row>
    <row r="6" spans="1:10" ht="15.75" thickBot="1" x14ac:dyDescent="0.3">
      <c r="B6" s="6" t="s">
        <v>22</v>
      </c>
      <c r="C6" s="7" t="s">
        <v>22</v>
      </c>
      <c r="D6" s="8" t="s">
        <v>31</v>
      </c>
      <c r="E6" s="9" t="s">
        <v>31</v>
      </c>
      <c r="I6" s="10">
        <v>5</v>
      </c>
      <c r="J6" s="10">
        <v>1.5</v>
      </c>
    </row>
    <row r="7" spans="1:10" x14ac:dyDescent="0.25">
      <c r="A7" s="11">
        <v>26</v>
      </c>
      <c r="B7" s="12">
        <v>73</v>
      </c>
      <c r="C7" s="13">
        <v>11</v>
      </c>
      <c r="D7" s="14">
        <v>115</v>
      </c>
      <c r="E7" s="15">
        <v>19</v>
      </c>
    </row>
    <row r="8" spans="1:10" x14ac:dyDescent="0.25">
      <c r="A8" s="16">
        <v>27</v>
      </c>
      <c r="B8" s="17">
        <v>52</v>
      </c>
      <c r="C8" s="18">
        <v>14</v>
      </c>
      <c r="D8" s="17">
        <v>89</v>
      </c>
      <c r="E8" s="19">
        <v>18</v>
      </c>
    </row>
    <row r="9" spans="1:10" x14ac:dyDescent="0.25">
      <c r="A9" s="16">
        <v>28</v>
      </c>
      <c r="B9" s="17">
        <v>72</v>
      </c>
      <c r="C9" s="18">
        <v>13</v>
      </c>
      <c r="D9" s="17">
        <v>131</v>
      </c>
      <c r="E9" s="19">
        <v>27</v>
      </c>
    </row>
    <row r="10" spans="1:10" x14ac:dyDescent="0.25">
      <c r="A10" s="16" t="s">
        <v>69</v>
      </c>
      <c r="B10" s="17">
        <v>30</v>
      </c>
      <c r="C10" s="18">
        <v>10</v>
      </c>
      <c r="D10" s="17">
        <v>131</v>
      </c>
      <c r="E10" s="19">
        <v>27</v>
      </c>
    </row>
    <row r="11" spans="1:10" x14ac:dyDescent="0.25">
      <c r="A11" s="16">
        <v>28</v>
      </c>
      <c r="B11" s="17">
        <v>72</v>
      </c>
      <c r="C11" s="18">
        <v>13</v>
      </c>
      <c r="D11" s="17">
        <v>131</v>
      </c>
      <c r="E11" s="19">
        <v>27</v>
      </c>
    </row>
    <row r="12" spans="1:10" x14ac:dyDescent="0.25">
      <c r="A12" s="16">
        <v>29</v>
      </c>
      <c r="B12" s="17">
        <v>59</v>
      </c>
      <c r="C12" s="18">
        <v>8</v>
      </c>
      <c r="D12" s="17">
        <v>90</v>
      </c>
      <c r="E12" s="19">
        <v>18</v>
      </c>
    </row>
    <row r="13" spans="1:10" x14ac:dyDescent="0.25">
      <c r="A13" s="16" t="s">
        <v>70</v>
      </c>
      <c r="B13" s="17">
        <v>30</v>
      </c>
      <c r="C13" s="18">
        <v>10</v>
      </c>
      <c r="D13" s="17">
        <v>90</v>
      </c>
      <c r="E13" s="19">
        <v>18</v>
      </c>
    </row>
    <row r="14" spans="1:10" x14ac:dyDescent="0.25">
      <c r="A14" s="16">
        <v>30</v>
      </c>
      <c r="B14" s="17">
        <v>66</v>
      </c>
      <c r="C14" s="18">
        <v>11</v>
      </c>
      <c r="D14" s="17">
        <v>122</v>
      </c>
      <c r="E14" s="19">
        <v>28</v>
      </c>
    </row>
    <row r="15" spans="1:10" x14ac:dyDescent="0.25">
      <c r="A15" s="20" t="s">
        <v>71</v>
      </c>
      <c r="B15" s="17">
        <v>30</v>
      </c>
      <c r="C15" s="18">
        <v>10</v>
      </c>
      <c r="D15" s="17">
        <v>122</v>
      </c>
      <c r="E15" s="19">
        <v>28</v>
      </c>
    </row>
    <row r="16" spans="1:10" x14ac:dyDescent="0.25">
      <c r="A16" s="16">
        <v>30</v>
      </c>
      <c r="B16" s="17">
        <v>66</v>
      </c>
      <c r="C16" s="18">
        <v>11</v>
      </c>
      <c r="D16" s="17">
        <v>122</v>
      </c>
      <c r="E16" s="19">
        <v>28</v>
      </c>
    </row>
    <row r="17" spans="1:5" x14ac:dyDescent="0.25">
      <c r="A17" s="20" t="s">
        <v>72</v>
      </c>
      <c r="B17" s="17">
        <v>30</v>
      </c>
      <c r="C17" s="18">
        <v>10</v>
      </c>
      <c r="D17" s="17">
        <v>122</v>
      </c>
      <c r="E17" s="19">
        <v>28</v>
      </c>
    </row>
    <row r="18" spans="1:5" x14ac:dyDescent="0.25">
      <c r="A18" s="16">
        <v>31</v>
      </c>
      <c r="B18" s="17">
        <v>60</v>
      </c>
      <c r="C18" s="18">
        <v>10</v>
      </c>
      <c r="D18" s="17">
        <v>115</v>
      </c>
      <c r="E18" s="19">
        <v>19</v>
      </c>
    </row>
    <row r="19" spans="1:5" x14ac:dyDescent="0.25">
      <c r="A19" s="16" t="s">
        <v>73</v>
      </c>
      <c r="B19" s="17">
        <v>30</v>
      </c>
      <c r="C19" s="18">
        <v>10</v>
      </c>
      <c r="D19" s="17">
        <v>115</v>
      </c>
      <c r="E19" s="19">
        <v>19</v>
      </c>
    </row>
    <row r="20" spans="1:5" ht="15.75" thickBot="1" x14ac:dyDescent="0.3">
      <c r="A20" s="21">
        <v>31</v>
      </c>
      <c r="B20" s="22">
        <v>60</v>
      </c>
      <c r="C20" s="23">
        <v>10</v>
      </c>
      <c r="D20" s="22">
        <v>115</v>
      </c>
      <c r="E20" s="24">
        <v>19</v>
      </c>
    </row>
  </sheetData>
  <mergeCells count="2">
    <mergeCell ref="B4:C4"/>
    <mergeCell ref="D4:E4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A4" sqref="A4:G15"/>
    </sheetView>
  </sheetViews>
  <sheetFormatPr defaultColWidth="11.42578125" defaultRowHeight="15" x14ac:dyDescent="0.25"/>
  <cols>
    <col min="1" max="1" width="10.5703125" style="28" bestFit="1" customWidth="1"/>
    <col min="2" max="2" width="14.28515625" style="28" hidden="1" customWidth="1"/>
    <col min="3" max="3" width="20.28515625" style="28" bestFit="1" customWidth="1"/>
    <col min="4" max="4" width="18.28515625" style="28" bestFit="1" customWidth="1"/>
    <col min="5" max="5" width="19.85546875" style="28" customWidth="1"/>
    <col min="6" max="6" width="8.42578125" style="28" customWidth="1"/>
    <col min="7" max="7" width="8" style="28" customWidth="1"/>
    <col min="8" max="15" width="11.42578125" style="28"/>
    <col min="16" max="16" width="119.28515625" style="28" customWidth="1"/>
    <col min="17" max="19" width="11.42578125" style="28"/>
    <col min="20" max="20" width="11.42578125" style="28" customWidth="1"/>
    <col min="21" max="16384" width="11.42578125" style="28"/>
  </cols>
  <sheetData>
    <row r="1" spans="1:23" ht="20.25" x14ac:dyDescent="0.3">
      <c r="F1" s="347" t="s">
        <v>167</v>
      </c>
    </row>
    <row r="3" spans="1:23" ht="18.75" thickBot="1" x14ac:dyDescent="0.3">
      <c r="A3" s="368" t="s">
        <v>169</v>
      </c>
    </row>
    <row r="4" spans="1:23" x14ac:dyDescent="0.25">
      <c r="A4" s="25"/>
      <c r="B4" s="26" t="s">
        <v>34</v>
      </c>
      <c r="C4" s="26" t="s">
        <v>35</v>
      </c>
      <c r="D4" s="26" t="s">
        <v>36</v>
      </c>
      <c r="E4" s="27" t="s">
        <v>45</v>
      </c>
      <c r="F4" s="520" t="s">
        <v>46</v>
      </c>
      <c r="G4" s="521"/>
    </row>
    <row r="5" spans="1:23" x14ac:dyDescent="0.25">
      <c r="A5" s="29" t="s">
        <v>5</v>
      </c>
      <c r="B5" s="30" t="s">
        <v>39</v>
      </c>
      <c r="C5" s="30" t="s">
        <v>39</v>
      </c>
      <c r="D5" s="30" t="s">
        <v>39</v>
      </c>
      <c r="E5" s="31" t="s">
        <v>39</v>
      </c>
      <c r="F5" s="522" t="s">
        <v>39</v>
      </c>
      <c r="G5" s="523"/>
      <c r="T5" s="244"/>
      <c r="U5" s="244"/>
      <c r="V5" s="244"/>
      <c r="W5" s="244"/>
    </row>
    <row r="6" spans="1:23" ht="15.75" thickBot="1" x14ac:dyDescent="0.3">
      <c r="A6" s="6" t="s">
        <v>22</v>
      </c>
      <c r="B6" s="33" t="s">
        <v>40</v>
      </c>
      <c r="C6" s="33" t="s">
        <v>40</v>
      </c>
      <c r="D6" s="33" t="s">
        <v>40</v>
      </c>
      <c r="E6" s="34" t="s">
        <v>40</v>
      </c>
      <c r="F6" s="243" t="s">
        <v>40</v>
      </c>
      <c r="G6" s="7" t="s">
        <v>106</v>
      </c>
    </row>
    <row r="7" spans="1:23" x14ac:dyDescent="0.25">
      <c r="A7" s="35">
        <v>10</v>
      </c>
      <c r="B7" s="25">
        <v>1.5</v>
      </c>
      <c r="C7" s="36">
        <f t="shared" ref="C7:C15" si="0">-0.0059*(0.77*A7+12.4)+1.59</f>
        <v>1.4714100000000001</v>
      </c>
      <c r="D7" s="37">
        <v>1</v>
      </c>
      <c r="E7" s="38">
        <f>2.48*8*60/1000</f>
        <v>1.1904000000000001</v>
      </c>
      <c r="F7" s="240">
        <f>AVERAGE(B7:E7)</f>
        <v>1.2904525</v>
      </c>
      <c r="G7" s="237">
        <f t="shared" ref="G7:G15" si="1">F7*24</f>
        <v>30.970860000000002</v>
      </c>
      <c r="P7" s="28" t="str">
        <f>"("&amp;F7&amp;","</f>
        <v>(1.2904525,</v>
      </c>
    </row>
    <row r="8" spans="1:23" x14ac:dyDescent="0.25">
      <c r="A8" s="39">
        <v>20</v>
      </c>
      <c r="B8" s="40">
        <f>(B9+B7)/2</f>
        <v>1.85</v>
      </c>
      <c r="C8" s="41">
        <f t="shared" si="0"/>
        <v>1.42598</v>
      </c>
      <c r="D8" s="42">
        <v>1.4</v>
      </c>
      <c r="E8" s="43">
        <f>(E9+E7)/2</f>
        <v>1.488</v>
      </c>
      <c r="F8" s="241">
        <f t="shared" ref="F8:F15" si="2">AVERAGE(B8:E8)</f>
        <v>1.5409950000000001</v>
      </c>
      <c r="G8" s="238">
        <f t="shared" si="1"/>
        <v>36.983879999999999</v>
      </c>
      <c r="P8" s="28" t="str">
        <f>P7&amp;F8&amp;","</f>
        <v>(1.2904525,1.540995,</v>
      </c>
    </row>
    <row r="9" spans="1:23" x14ac:dyDescent="0.25">
      <c r="A9" s="39">
        <v>30</v>
      </c>
      <c r="B9" s="40">
        <v>2.2000000000000002</v>
      </c>
      <c r="C9" s="41">
        <f t="shared" si="0"/>
        <v>1.3805500000000002</v>
      </c>
      <c r="D9" s="42">
        <v>1.8</v>
      </c>
      <c r="E9" s="43">
        <f>3.72*8*60/1000</f>
        <v>1.7856000000000001</v>
      </c>
      <c r="F9" s="241">
        <f t="shared" si="2"/>
        <v>1.7915375</v>
      </c>
      <c r="G9" s="238">
        <f t="shared" si="1"/>
        <v>42.996899999999997</v>
      </c>
      <c r="P9" s="28" t="str">
        <f t="shared" ref="P9:P14" si="3">P8&amp;F9&amp;","</f>
        <v>(1.2904525,1.540995,1.7915375,</v>
      </c>
      <c r="T9" s="245"/>
      <c r="U9" s="245"/>
      <c r="V9" s="245"/>
      <c r="W9" s="245"/>
    </row>
    <row r="10" spans="1:23" x14ac:dyDescent="0.25">
      <c r="A10" s="39">
        <v>40</v>
      </c>
      <c r="B10" s="40">
        <f>(B11+B9)/2</f>
        <v>2.1</v>
      </c>
      <c r="C10" s="41">
        <f t="shared" si="0"/>
        <v>1.3351200000000001</v>
      </c>
      <c r="D10" s="42">
        <v>2.1</v>
      </c>
      <c r="E10" s="43">
        <f>(E11+E9)/2</f>
        <v>2.3472</v>
      </c>
      <c r="F10" s="241">
        <f t="shared" si="2"/>
        <v>1.9705800000000002</v>
      </c>
      <c r="G10" s="238">
        <f t="shared" si="1"/>
        <v>47.293920000000007</v>
      </c>
      <c r="P10" s="28" t="str">
        <f t="shared" si="3"/>
        <v>(1.2904525,1.540995,1.7915375,1.97058,</v>
      </c>
    </row>
    <row r="11" spans="1:23" x14ac:dyDescent="0.25">
      <c r="A11" s="39">
        <v>50</v>
      </c>
      <c r="B11" s="40">
        <v>2</v>
      </c>
      <c r="C11" s="41">
        <f t="shared" si="0"/>
        <v>1.2896900000000002</v>
      </c>
      <c r="D11" s="42">
        <v>2.2999999999999998</v>
      </c>
      <c r="E11" s="43">
        <f>6.06*8*60/1000</f>
        <v>2.9087999999999998</v>
      </c>
      <c r="F11" s="241">
        <f t="shared" si="2"/>
        <v>2.1246225000000001</v>
      </c>
      <c r="G11" s="238">
        <f t="shared" si="1"/>
        <v>50.990940000000002</v>
      </c>
      <c r="P11" s="28" t="str">
        <f t="shared" si="3"/>
        <v>(1.2904525,1.540995,1.7915375,1.97058,2.1246225,</v>
      </c>
      <c r="T11" s="246"/>
      <c r="V11" s="246"/>
      <c r="W11" s="246"/>
    </row>
    <row r="12" spans="1:23" x14ac:dyDescent="0.25">
      <c r="A12" s="39">
        <v>60</v>
      </c>
      <c r="B12" s="40">
        <f>(B13+B11)/2</f>
        <v>1.8</v>
      </c>
      <c r="C12" s="41">
        <f t="shared" si="0"/>
        <v>1.2442600000000001</v>
      </c>
      <c r="D12" s="42">
        <v>2.2999999999999998</v>
      </c>
      <c r="E12" s="43">
        <f>(E13+E11)/2</f>
        <v>3.4056000000000002</v>
      </c>
      <c r="F12" s="241">
        <f t="shared" si="2"/>
        <v>2.187465</v>
      </c>
      <c r="G12" s="238">
        <f t="shared" si="1"/>
        <v>52.499160000000003</v>
      </c>
      <c r="P12" s="28" t="str">
        <f t="shared" si="3"/>
        <v>(1.2904525,1.540995,1.7915375,1.97058,2.1246225,2.187465,</v>
      </c>
      <c r="T12" s="246"/>
      <c r="V12" s="246"/>
      <c r="W12" s="246"/>
    </row>
    <row r="13" spans="1:23" x14ac:dyDescent="0.25">
      <c r="A13" s="39">
        <v>70</v>
      </c>
      <c r="B13" s="40">
        <v>1.6</v>
      </c>
      <c r="C13" s="41">
        <f t="shared" si="0"/>
        <v>1.1988300000000001</v>
      </c>
      <c r="D13" s="42">
        <v>2.2000000000000002</v>
      </c>
      <c r="E13" s="43">
        <f>8.13*8*60/1000</f>
        <v>3.9024000000000005</v>
      </c>
      <c r="F13" s="241">
        <f t="shared" si="2"/>
        <v>2.2253075</v>
      </c>
      <c r="G13" s="238">
        <f t="shared" si="1"/>
        <v>53.407380000000003</v>
      </c>
      <c r="P13" s="28" t="str">
        <f t="shared" si="3"/>
        <v>(1.2904525,1.540995,1.7915375,1.97058,2.1246225,2.187465,2.2253075,</v>
      </c>
    </row>
    <row r="14" spans="1:23" x14ac:dyDescent="0.25">
      <c r="A14" s="39">
        <v>80</v>
      </c>
      <c r="B14" s="40">
        <v>1.6</v>
      </c>
      <c r="C14" s="41">
        <f t="shared" si="0"/>
        <v>1.1534</v>
      </c>
      <c r="D14" s="42">
        <v>1.8</v>
      </c>
      <c r="E14" s="43">
        <f>(E15+E13)/2</f>
        <v>3.3408000000000002</v>
      </c>
      <c r="F14" s="241">
        <f t="shared" si="2"/>
        <v>1.9735499999999999</v>
      </c>
      <c r="G14" s="238">
        <f t="shared" si="1"/>
        <v>47.365200000000002</v>
      </c>
      <c r="P14" s="28" t="str">
        <f t="shared" si="3"/>
        <v>(1.2904525,1.540995,1.7915375,1.97058,2.1246225,2.187465,2.2253075,1.97355,</v>
      </c>
      <c r="T14" s="246"/>
      <c r="V14" s="246"/>
      <c r="W14" s="246"/>
    </row>
    <row r="15" spans="1:23" ht="15.75" thickBot="1" x14ac:dyDescent="0.3">
      <c r="A15" s="44">
        <v>90</v>
      </c>
      <c r="B15" s="45">
        <v>1.6</v>
      </c>
      <c r="C15" s="46">
        <f t="shared" si="0"/>
        <v>1.1079700000000001</v>
      </c>
      <c r="D15" s="47">
        <v>1.4</v>
      </c>
      <c r="E15" s="48">
        <f>5.79*8*60/1000</f>
        <v>2.7791999999999999</v>
      </c>
      <c r="F15" s="242">
        <f t="shared" si="2"/>
        <v>1.7217924999999998</v>
      </c>
      <c r="G15" s="239">
        <f t="shared" si="1"/>
        <v>41.32302</v>
      </c>
      <c r="P15" s="28" t="str">
        <f>P14&amp;F15&amp;")"</f>
        <v>(1.2904525,1.540995,1.7915375,1.97058,2.1246225,2.187465,2.2253075,1.97355,1.7217925)</v>
      </c>
      <c r="T15" s="246"/>
      <c r="V15" s="246"/>
      <c r="W15" s="246"/>
    </row>
    <row r="16" spans="1:23" x14ac:dyDescent="0.25">
      <c r="P16" s="28" t="s">
        <v>231</v>
      </c>
      <c r="T16" s="246"/>
      <c r="V16" s="246"/>
      <c r="W16" s="246"/>
    </row>
    <row r="17" spans="1:23" ht="18.75" thickBot="1" x14ac:dyDescent="0.3">
      <c r="A17" s="368" t="s">
        <v>168</v>
      </c>
      <c r="T17" s="246"/>
      <c r="U17" s="246"/>
      <c r="V17" s="246"/>
      <c r="W17" s="246"/>
    </row>
    <row r="18" spans="1:23" x14ac:dyDescent="0.25">
      <c r="A18" s="49"/>
      <c r="B18" s="3" t="s">
        <v>30</v>
      </c>
      <c r="C18" s="50" t="s">
        <v>29</v>
      </c>
      <c r="D18" s="26" t="s">
        <v>28</v>
      </c>
      <c r="E18" s="4" t="s">
        <v>59</v>
      </c>
    </row>
    <row r="19" spans="1:23" x14ac:dyDescent="0.25">
      <c r="A19" s="51"/>
      <c r="B19" s="29" t="s">
        <v>47</v>
      </c>
      <c r="C19" s="52" t="s">
        <v>47</v>
      </c>
      <c r="D19" s="30" t="s">
        <v>47</v>
      </c>
      <c r="E19" s="32" t="s">
        <v>47</v>
      </c>
    </row>
    <row r="20" spans="1:23" ht="15.75" thickBot="1" x14ac:dyDescent="0.3">
      <c r="A20" s="53" t="s">
        <v>49</v>
      </c>
      <c r="B20" s="6" t="s">
        <v>48</v>
      </c>
      <c r="C20" s="54" t="s">
        <v>48</v>
      </c>
      <c r="D20" s="33" t="s">
        <v>48</v>
      </c>
      <c r="E20" s="9" t="s">
        <v>48</v>
      </c>
    </row>
    <row r="21" spans="1:23" x14ac:dyDescent="0.25">
      <c r="A21" s="55" t="s">
        <v>1</v>
      </c>
      <c r="B21" s="56">
        <v>0.11</v>
      </c>
      <c r="C21" s="57">
        <f>E32</f>
        <v>0.20805555555555563</v>
      </c>
      <c r="D21" s="57">
        <f>D32</f>
        <v>0.36833333333333346</v>
      </c>
      <c r="E21" s="58">
        <f>C32</f>
        <v>0.49866666666666698</v>
      </c>
    </row>
    <row r="22" spans="1:23" x14ac:dyDescent="0.25">
      <c r="A22" s="59" t="s">
        <v>21</v>
      </c>
      <c r="B22" s="60">
        <v>0.15</v>
      </c>
      <c r="C22" s="61">
        <f>E37</f>
        <v>0.22500000000000001</v>
      </c>
      <c r="D22" s="61">
        <f>D37</f>
        <v>0.34583333333333338</v>
      </c>
      <c r="E22" s="62">
        <f>C37</f>
        <v>0.40833333333333338</v>
      </c>
    </row>
    <row r="23" spans="1:23" ht="15.75" thickBot="1" x14ac:dyDescent="0.3">
      <c r="A23" s="63" t="s">
        <v>2</v>
      </c>
      <c r="B23" s="64">
        <f>F44</f>
        <v>0.15</v>
      </c>
      <c r="C23" s="65">
        <f>E44</f>
        <v>0.28833333333333333</v>
      </c>
      <c r="D23" s="65">
        <f>D44</f>
        <v>0.42111111111111105</v>
      </c>
      <c r="E23" s="66">
        <f>C44</f>
        <v>0.46361111111111114</v>
      </c>
    </row>
    <row r="26" spans="1:23" ht="18.75" thickBot="1" x14ac:dyDescent="0.3">
      <c r="A26" s="368" t="s">
        <v>170</v>
      </c>
    </row>
    <row r="27" spans="1:23" ht="15.75" thickBot="1" x14ac:dyDescent="0.3">
      <c r="A27" s="67"/>
      <c r="B27" s="67"/>
      <c r="C27" s="524" t="s">
        <v>52</v>
      </c>
      <c r="D27" s="525"/>
      <c r="E27" s="525"/>
      <c r="F27" s="526"/>
    </row>
    <row r="28" spans="1:23" ht="15.75" thickBot="1" x14ac:dyDescent="0.3">
      <c r="A28" s="68" t="s">
        <v>49</v>
      </c>
      <c r="B28" s="68" t="s">
        <v>53</v>
      </c>
      <c r="C28" s="69" t="s">
        <v>59</v>
      </c>
      <c r="D28" s="69" t="s">
        <v>28</v>
      </c>
      <c r="E28" s="69" t="s">
        <v>29</v>
      </c>
      <c r="F28" s="69" t="s">
        <v>30</v>
      </c>
    </row>
    <row r="29" spans="1:23" x14ac:dyDescent="0.25">
      <c r="A29" s="530" t="s">
        <v>54</v>
      </c>
      <c r="B29" s="70" t="s">
        <v>34</v>
      </c>
      <c r="C29" s="71">
        <v>0.47500000000000003</v>
      </c>
      <c r="D29" s="71">
        <v>0.35000000000000003</v>
      </c>
      <c r="E29" s="71">
        <v>0.17916666666666667</v>
      </c>
      <c r="F29" s="72">
        <v>3.7499999999999999E-2</v>
      </c>
    </row>
    <row r="30" spans="1:23" x14ac:dyDescent="0.25">
      <c r="A30" s="531"/>
      <c r="B30" s="73" t="s">
        <v>55</v>
      </c>
      <c r="C30" s="74">
        <v>0.62100000000000088</v>
      </c>
      <c r="D30" s="74">
        <v>0.4050000000000003</v>
      </c>
      <c r="E30" s="74">
        <v>0.1650000000000002</v>
      </c>
      <c r="F30" s="75">
        <v>9.3000000000000013E-2</v>
      </c>
    </row>
    <row r="31" spans="1:23" ht="15.75" thickBot="1" x14ac:dyDescent="0.3">
      <c r="A31" s="532"/>
      <c r="B31" s="73" t="s">
        <v>56</v>
      </c>
      <c r="C31" s="76">
        <v>0.4</v>
      </c>
      <c r="D31" s="76">
        <v>0.35</v>
      </c>
      <c r="E31" s="76">
        <v>0.28000000000000003</v>
      </c>
      <c r="F31" s="77">
        <v>0.2</v>
      </c>
    </row>
    <row r="32" spans="1:23" ht="15.75" thickBot="1" x14ac:dyDescent="0.3">
      <c r="A32" s="524" t="s">
        <v>57</v>
      </c>
      <c r="B32" s="525"/>
      <c r="C32" s="78">
        <v>0.49866666666666698</v>
      </c>
      <c r="D32" s="78">
        <v>0.36833333333333346</v>
      </c>
      <c r="E32" s="78">
        <v>0.20805555555555563</v>
      </c>
      <c r="F32" s="79">
        <v>0.11016666666666668</v>
      </c>
    </row>
    <row r="33" spans="1:7" ht="15.75" thickBot="1" x14ac:dyDescent="0.3">
      <c r="A33" s="67"/>
      <c r="B33" s="67"/>
      <c r="C33" s="67"/>
      <c r="D33" s="67"/>
      <c r="E33" s="67"/>
      <c r="F33" s="67"/>
    </row>
    <row r="34" spans="1:7" ht="15.75" thickBot="1" x14ac:dyDescent="0.3">
      <c r="A34" s="67"/>
      <c r="B34" s="67"/>
      <c r="C34" s="524" t="s">
        <v>52</v>
      </c>
      <c r="D34" s="525"/>
      <c r="E34" s="525"/>
      <c r="F34" s="526"/>
    </row>
    <row r="35" spans="1:7" ht="15.75" thickBot="1" x14ac:dyDescent="0.3">
      <c r="A35" s="68" t="s">
        <v>49</v>
      </c>
      <c r="B35" s="68" t="s">
        <v>53</v>
      </c>
      <c r="C35" s="69" t="s">
        <v>59</v>
      </c>
      <c r="D35" s="69" t="s">
        <v>28</v>
      </c>
      <c r="E35" s="69" t="s">
        <v>29</v>
      </c>
      <c r="F35" s="69" t="s">
        <v>30</v>
      </c>
    </row>
    <row r="36" spans="1:7" ht="15.75" thickBot="1" x14ac:dyDescent="0.3">
      <c r="A36" s="80" t="s">
        <v>50</v>
      </c>
      <c r="B36" s="70" t="s">
        <v>34</v>
      </c>
      <c r="C36" s="81">
        <v>0.40833333333333338</v>
      </c>
      <c r="D36" s="82">
        <v>0.34583333333333338</v>
      </c>
      <c r="E36" s="82">
        <v>0.22500000000000001</v>
      </c>
      <c r="F36" s="83">
        <v>0.15416666666666667</v>
      </c>
    </row>
    <row r="37" spans="1:7" ht="15.75" thickBot="1" x14ac:dyDescent="0.3">
      <c r="A37" s="524" t="s">
        <v>57</v>
      </c>
      <c r="B37" s="525"/>
      <c r="C37" s="84">
        <v>0.40833333333333338</v>
      </c>
      <c r="D37" s="84">
        <v>0.34583333333333338</v>
      </c>
      <c r="E37" s="84">
        <v>0.22500000000000001</v>
      </c>
      <c r="F37" s="85">
        <v>0.15416666666666667</v>
      </c>
    </row>
    <row r="38" spans="1:7" ht="15.75" thickBot="1" x14ac:dyDescent="0.3"/>
    <row r="39" spans="1:7" ht="15.75" thickBot="1" x14ac:dyDescent="0.3">
      <c r="A39" s="67"/>
      <c r="B39" s="67"/>
      <c r="C39" s="524" t="s">
        <v>52</v>
      </c>
      <c r="D39" s="525"/>
      <c r="E39" s="525"/>
      <c r="F39" s="526"/>
    </row>
    <row r="40" spans="1:7" ht="15.75" thickBot="1" x14ac:dyDescent="0.3">
      <c r="A40" s="68" t="s">
        <v>49</v>
      </c>
      <c r="B40" s="68" t="s">
        <v>53</v>
      </c>
      <c r="C40" s="69" t="s">
        <v>59</v>
      </c>
      <c r="D40" s="69" t="s">
        <v>28</v>
      </c>
      <c r="E40" s="69" t="s">
        <v>29</v>
      </c>
      <c r="F40" s="69" t="s">
        <v>30</v>
      </c>
    </row>
    <row r="41" spans="1:7" x14ac:dyDescent="0.25">
      <c r="A41" s="527" t="s">
        <v>2</v>
      </c>
      <c r="B41" s="70" t="s">
        <v>34</v>
      </c>
      <c r="C41" s="86">
        <v>0.5708333333333333</v>
      </c>
      <c r="D41" s="87">
        <v>0.53333333333333333</v>
      </c>
      <c r="E41" s="87">
        <v>0.22500000000000001</v>
      </c>
      <c r="F41" s="88">
        <v>0.15416666666666667</v>
      </c>
    </row>
    <row r="42" spans="1:7" x14ac:dyDescent="0.25">
      <c r="A42" s="528"/>
      <c r="B42" s="73" t="s">
        <v>58</v>
      </c>
      <c r="C42" s="89">
        <v>0.38</v>
      </c>
      <c r="D42" s="90">
        <v>0.3</v>
      </c>
      <c r="E42" s="90">
        <v>0.26</v>
      </c>
      <c r="F42" s="91"/>
    </row>
    <row r="43" spans="1:7" ht="15.75" thickBot="1" x14ac:dyDescent="0.3">
      <c r="A43" s="529"/>
      <c r="B43" s="73" t="s">
        <v>56</v>
      </c>
      <c r="C43" s="92">
        <v>0.44</v>
      </c>
      <c r="D43" s="93">
        <v>0.43</v>
      </c>
      <c r="E43" s="93">
        <v>0.38</v>
      </c>
      <c r="F43" s="94">
        <v>0.15</v>
      </c>
      <c r="G43" s="28" t="s">
        <v>103</v>
      </c>
    </row>
    <row r="44" spans="1:7" ht="15.75" thickBot="1" x14ac:dyDescent="0.3">
      <c r="A44" s="524" t="s">
        <v>57</v>
      </c>
      <c r="B44" s="525"/>
      <c r="C44" s="84">
        <v>0.46361111111111114</v>
      </c>
      <c r="D44" s="84">
        <v>0.42111111111111105</v>
      </c>
      <c r="E44" s="84">
        <v>0.28833333333333333</v>
      </c>
      <c r="F44" s="85">
        <v>0.15</v>
      </c>
    </row>
    <row r="46" spans="1:7" x14ac:dyDescent="0.25">
      <c r="F46" s="233" t="s">
        <v>105</v>
      </c>
    </row>
    <row r="48" spans="1:7" x14ac:dyDescent="0.25">
      <c r="D48" s="232"/>
    </row>
    <row r="49" spans="4:4" x14ac:dyDescent="0.25">
      <c r="D49" s="232"/>
    </row>
  </sheetData>
  <mergeCells count="10">
    <mergeCell ref="F4:G4"/>
    <mergeCell ref="F5:G5"/>
    <mergeCell ref="A37:B37"/>
    <mergeCell ref="C39:F39"/>
    <mergeCell ref="A44:B44"/>
    <mergeCell ref="A41:A43"/>
    <mergeCell ref="C27:F27"/>
    <mergeCell ref="A32:B32"/>
    <mergeCell ref="A29:A31"/>
    <mergeCell ref="C34:F34"/>
  </mergeCells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85" zoomScaleNormal="85" workbookViewId="0">
      <selection activeCell="F25" sqref="F25"/>
    </sheetView>
  </sheetViews>
  <sheetFormatPr defaultColWidth="11.42578125" defaultRowHeight="12.75" x14ac:dyDescent="0.2"/>
  <cols>
    <col min="1" max="1" width="44.5703125" style="230" bestFit="1" customWidth="1"/>
    <col min="2" max="6" width="11.42578125" style="230"/>
    <col min="7" max="7" width="2.5703125" style="231" customWidth="1"/>
    <col min="8" max="8" width="88.42578125" style="230" customWidth="1"/>
    <col min="9" max="16384" width="11.42578125" style="230"/>
  </cols>
  <sheetData>
    <row r="1" spans="1:16" ht="20.25" x14ac:dyDescent="0.3">
      <c r="F1" s="347" t="s">
        <v>191</v>
      </c>
      <c r="G1" s="378"/>
      <c r="P1" s="347" t="s">
        <v>192</v>
      </c>
    </row>
    <row r="2" spans="1:16" ht="13.5" thickBot="1" x14ac:dyDescent="0.25"/>
    <row r="3" spans="1:16" ht="13.5" thickBot="1" x14ac:dyDescent="0.25">
      <c r="A3" s="260" t="s">
        <v>111</v>
      </c>
      <c r="B3" s="261" t="s">
        <v>86</v>
      </c>
      <c r="C3" s="264" t="s">
        <v>59</v>
      </c>
      <c r="D3" s="264" t="s">
        <v>28</v>
      </c>
      <c r="E3" s="264" t="s">
        <v>29</v>
      </c>
      <c r="F3" s="263" t="s">
        <v>30</v>
      </c>
      <c r="G3" s="379"/>
      <c r="H3" s="369" t="s">
        <v>107</v>
      </c>
    </row>
    <row r="4" spans="1:16" x14ac:dyDescent="0.2">
      <c r="A4" s="248" t="s">
        <v>87</v>
      </c>
      <c r="B4" s="253" t="s">
        <v>88</v>
      </c>
      <c r="C4" s="265">
        <f>24*Models!E21</f>
        <v>11.968000000000007</v>
      </c>
      <c r="D4" s="265">
        <f>24*Models!D21</f>
        <v>8.8400000000000034</v>
      </c>
      <c r="E4" s="265">
        <f>24*Models!C21</f>
        <v>4.993333333333335</v>
      </c>
      <c r="F4" s="254">
        <f>24*Models!B21</f>
        <v>2.64</v>
      </c>
      <c r="G4" s="375"/>
      <c r="H4" s="372" t="s">
        <v>171</v>
      </c>
    </row>
    <row r="5" spans="1:16" x14ac:dyDescent="0.2">
      <c r="A5" s="249" t="s">
        <v>100</v>
      </c>
      <c r="B5" s="255" t="s">
        <v>88</v>
      </c>
      <c r="C5" s="266">
        <f>C19*1/12</f>
        <v>1.1666666666666667</v>
      </c>
      <c r="D5" s="266">
        <f t="shared" ref="D5:F5" si="0">D19*1/12</f>
        <v>1.0833333333333333</v>
      </c>
      <c r="E5" s="266">
        <f t="shared" si="0"/>
        <v>0.58333333333333337</v>
      </c>
      <c r="F5" s="266">
        <f t="shared" si="0"/>
        <v>0.25</v>
      </c>
      <c r="G5" s="375"/>
      <c r="H5" s="372" t="s">
        <v>172</v>
      </c>
    </row>
    <row r="6" spans="1:16" x14ac:dyDescent="0.2">
      <c r="A6" s="250" t="s">
        <v>101</v>
      </c>
      <c r="B6" s="255" t="s">
        <v>88</v>
      </c>
      <c r="C6" s="266">
        <v>0</v>
      </c>
      <c r="D6" s="266">
        <f>D19*(3*4/60)</f>
        <v>2.6</v>
      </c>
      <c r="E6" s="266">
        <f>E19*(8*5/60)</f>
        <v>4.6666666666666661</v>
      </c>
      <c r="F6" s="266">
        <f>3*F19*(8*5/60)</f>
        <v>6</v>
      </c>
      <c r="G6" s="375"/>
      <c r="H6" s="372" t="s">
        <v>173</v>
      </c>
    </row>
    <row r="7" spans="1:16" x14ac:dyDescent="0.2">
      <c r="A7" s="249" t="s">
        <v>90</v>
      </c>
      <c r="B7" s="255" t="s">
        <v>88</v>
      </c>
      <c r="C7" s="370">
        <v>4</v>
      </c>
      <c r="D7" s="370">
        <v>4</v>
      </c>
      <c r="E7" s="266">
        <v>5</v>
      </c>
      <c r="F7" s="266">
        <v>6</v>
      </c>
      <c r="G7" s="375"/>
      <c r="H7" s="372" t="s">
        <v>174</v>
      </c>
    </row>
    <row r="8" spans="1:16" x14ac:dyDescent="0.2">
      <c r="A8" s="249" t="s">
        <v>91</v>
      </c>
      <c r="B8" s="255" t="s">
        <v>88</v>
      </c>
      <c r="C8" s="266">
        <f>C19*1/6</f>
        <v>2.3333333333333335</v>
      </c>
      <c r="D8" s="266">
        <f t="shared" ref="D8:F8" si="1">D19*1/6</f>
        <v>2.1666666666666665</v>
      </c>
      <c r="E8" s="266">
        <f t="shared" si="1"/>
        <v>1.1666666666666667</v>
      </c>
      <c r="F8" s="266">
        <f t="shared" si="1"/>
        <v>0.5</v>
      </c>
      <c r="G8" s="375"/>
      <c r="H8" s="372" t="s">
        <v>175</v>
      </c>
    </row>
    <row r="9" spans="1:16" x14ac:dyDescent="0.2">
      <c r="A9" s="249" t="s">
        <v>217</v>
      </c>
      <c r="B9" s="255" t="s">
        <v>88</v>
      </c>
      <c r="C9" s="266">
        <f>1%*24</f>
        <v>0.24</v>
      </c>
      <c r="D9" s="266">
        <f>1%*24</f>
        <v>0.24</v>
      </c>
      <c r="E9" s="266">
        <f>1%*24</f>
        <v>0.24</v>
      </c>
      <c r="F9" s="257">
        <f>1%*24</f>
        <v>0.24</v>
      </c>
      <c r="G9" s="375"/>
      <c r="H9" s="373" t="s">
        <v>176</v>
      </c>
    </row>
    <row r="10" spans="1:16" x14ac:dyDescent="0.2">
      <c r="A10" s="249" t="s">
        <v>218</v>
      </c>
      <c r="B10" s="255" t="s">
        <v>88</v>
      </c>
      <c r="C10" s="370">
        <f>(48/365*24-C11)*0.33</f>
        <v>0.7445342465753424</v>
      </c>
      <c r="D10" s="370">
        <f>(48/365*24-D11)*0.66</f>
        <v>1.4890684931506848</v>
      </c>
      <c r="E10" s="370">
        <f>(48/365*24-E11)*1.33</f>
        <v>2.8809986301369856</v>
      </c>
      <c r="F10" s="370">
        <f>(48/365*24-F11)*1.66</f>
        <v>3.4464328767123278</v>
      </c>
      <c r="G10" s="375"/>
      <c r="H10" s="372" t="s">
        <v>183</v>
      </c>
    </row>
    <row r="11" spans="1:16" x14ac:dyDescent="0.2">
      <c r="A11" s="249" t="s">
        <v>108</v>
      </c>
      <c r="B11" s="255" t="s">
        <v>88</v>
      </c>
      <c r="C11" s="266">
        <f>5%*18</f>
        <v>0.9</v>
      </c>
      <c r="D11" s="266">
        <f>5%*18</f>
        <v>0.9</v>
      </c>
      <c r="E11" s="266">
        <f>5.5%*18</f>
        <v>0.99</v>
      </c>
      <c r="F11" s="257">
        <f>6%*18</f>
        <v>1.08</v>
      </c>
      <c r="G11" s="375"/>
      <c r="H11" s="372" t="s">
        <v>177</v>
      </c>
    </row>
    <row r="12" spans="1:16" x14ac:dyDescent="0.2">
      <c r="A12" s="249" t="s">
        <v>160</v>
      </c>
      <c r="B12" s="255" t="s">
        <v>88</v>
      </c>
      <c r="C12" s="370">
        <f>12/340*24</f>
        <v>0.84705882352941175</v>
      </c>
      <c r="D12" s="370">
        <f t="shared" ref="D12:F12" si="2">12/340*24</f>
        <v>0.84705882352941175</v>
      </c>
      <c r="E12" s="370">
        <f t="shared" si="2"/>
        <v>0.84705882352941175</v>
      </c>
      <c r="F12" s="370">
        <f t="shared" si="2"/>
        <v>0.84705882352941175</v>
      </c>
      <c r="G12" s="375"/>
      <c r="H12" s="372" t="s">
        <v>195</v>
      </c>
    </row>
    <row r="13" spans="1:16" x14ac:dyDescent="0.2">
      <c r="A13" s="249" t="s">
        <v>161</v>
      </c>
      <c r="B13" s="255" t="s">
        <v>88</v>
      </c>
      <c r="C13" s="370">
        <f>15/340*24</f>
        <v>1.0588235294117647</v>
      </c>
      <c r="D13" s="370">
        <f t="shared" ref="D13:F13" si="3">15/340*24</f>
        <v>1.0588235294117647</v>
      </c>
      <c r="E13" s="370">
        <f t="shared" si="3"/>
        <v>1.0588235294117647</v>
      </c>
      <c r="F13" s="370">
        <f t="shared" si="3"/>
        <v>1.0588235294117647</v>
      </c>
      <c r="G13" s="375"/>
      <c r="H13" s="372" t="s">
        <v>178</v>
      </c>
    </row>
    <row r="14" spans="1:16" ht="13.5" thickBot="1" x14ac:dyDescent="0.25">
      <c r="A14" s="252" t="s">
        <v>93</v>
      </c>
      <c r="B14" s="262" t="s">
        <v>88</v>
      </c>
      <c r="C14" s="267">
        <f>24-SUM(C4:C13)</f>
        <v>0.74158340048347782</v>
      </c>
      <c r="D14" s="267">
        <f>24-SUM(D4:D13)</f>
        <v>0.77504915390813522</v>
      </c>
      <c r="E14" s="267">
        <f>24-SUM(E4:E13)</f>
        <v>1.5731190169218401</v>
      </c>
      <c r="F14" s="270">
        <f>24-SUM(F4:F13)</f>
        <v>1.9376847703464932</v>
      </c>
      <c r="G14" s="375"/>
      <c r="H14" s="372" t="s">
        <v>179</v>
      </c>
    </row>
    <row r="15" spans="1:16" x14ac:dyDescent="0.2">
      <c r="A15" s="248" t="s">
        <v>94</v>
      </c>
      <c r="B15" s="253" t="s">
        <v>88</v>
      </c>
      <c r="C15" s="265">
        <f>SUM(C4:C14)</f>
        <v>24</v>
      </c>
      <c r="D15" s="265">
        <f>SUM(D4:D14)</f>
        <v>24</v>
      </c>
      <c r="E15" s="265">
        <f>SUM(E4:E14)</f>
        <v>24</v>
      </c>
      <c r="F15" s="254">
        <f>SUM(F4:F14)</f>
        <v>24</v>
      </c>
      <c r="G15" s="375"/>
      <c r="H15" s="372"/>
    </row>
    <row r="16" spans="1:16" x14ac:dyDescent="0.2">
      <c r="A16" s="249" t="s">
        <v>95</v>
      </c>
      <c r="B16" s="255" t="s">
        <v>96</v>
      </c>
      <c r="C16" s="268">
        <f>(C4+C5)/C15</f>
        <v>0.54727777777777808</v>
      </c>
      <c r="D16" s="268">
        <f>(D4+D5)/D15</f>
        <v>0.41347222222222241</v>
      </c>
      <c r="E16" s="268">
        <f>(E4+E5)/E15</f>
        <v>0.23236111111111116</v>
      </c>
      <c r="F16" s="256">
        <f>(F4+F5)/F15</f>
        <v>0.12041666666666667</v>
      </c>
      <c r="G16" s="376"/>
      <c r="H16" s="372" t="s">
        <v>180</v>
      </c>
    </row>
    <row r="17" spans="1:8" x14ac:dyDescent="0.2">
      <c r="A17" s="249" t="s">
        <v>97</v>
      </c>
      <c r="B17" s="255" t="s">
        <v>98</v>
      </c>
      <c r="C17" s="266">
        <f>C4*Models!$F$15</f>
        <v>20.606412640000009</v>
      </c>
      <c r="D17" s="266">
        <f>D4*Models!$F$13</f>
        <v>19.671718300000009</v>
      </c>
      <c r="E17" s="266">
        <f>E4*Models!$F$11</f>
        <v>10.608948350000004</v>
      </c>
      <c r="F17" s="257">
        <f>F4*Models!$F$9</f>
        <v>4.7296589999999998</v>
      </c>
      <c r="G17" s="375"/>
      <c r="H17" s="372"/>
    </row>
    <row r="18" spans="1:8" x14ac:dyDescent="0.2">
      <c r="A18" s="249" t="s">
        <v>99</v>
      </c>
      <c r="B18" s="255" t="s">
        <v>98</v>
      </c>
      <c r="C18" s="266">
        <f>C17*340/365</f>
        <v>19.195014513972612</v>
      </c>
      <c r="D18" s="266">
        <f>D17*340/365</f>
        <v>18.324340334246585</v>
      </c>
      <c r="E18" s="266">
        <f>E17*340/365</f>
        <v>9.8823080520547979</v>
      </c>
      <c r="F18" s="257">
        <f>F17*340/365</f>
        <v>4.4057097534246576</v>
      </c>
      <c r="G18" s="375"/>
      <c r="H18" s="372"/>
    </row>
    <row r="19" spans="1:8" ht="13.5" thickBot="1" x14ac:dyDescent="0.25">
      <c r="A19" s="251" t="s">
        <v>110</v>
      </c>
      <c r="B19" s="258"/>
      <c r="C19" s="269">
        <f>ROUND(C17/Inputs!$J$6,0)</f>
        <v>14</v>
      </c>
      <c r="D19" s="269">
        <f>ROUND(D17/Inputs!$J$6,0)</f>
        <v>13</v>
      </c>
      <c r="E19" s="269">
        <f>ROUND(E17/Inputs!$J$6,0)</f>
        <v>7</v>
      </c>
      <c r="F19" s="259">
        <f>ROUND(F17/Inputs!$J$6,0)</f>
        <v>3</v>
      </c>
      <c r="G19" s="377"/>
      <c r="H19" s="372"/>
    </row>
    <row r="20" spans="1:8" ht="13.5" thickBot="1" x14ac:dyDescent="0.25">
      <c r="C20" s="231"/>
      <c r="H20" s="372"/>
    </row>
    <row r="21" spans="1:8" x14ac:dyDescent="0.2">
      <c r="A21" s="271" t="s">
        <v>112</v>
      </c>
      <c r="B21" s="271" t="s">
        <v>86</v>
      </c>
      <c r="C21" s="363" t="s">
        <v>59</v>
      </c>
      <c r="D21" s="363" t="s">
        <v>28</v>
      </c>
      <c r="E21" s="363" t="s">
        <v>29</v>
      </c>
      <c r="F21" s="364" t="s">
        <v>30</v>
      </c>
      <c r="G21" s="380"/>
      <c r="H21" s="372" t="s">
        <v>107</v>
      </c>
    </row>
    <row r="22" spans="1:8" x14ac:dyDescent="0.2">
      <c r="A22" s="249" t="s">
        <v>87</v>
      </c>
      <c r="B22" s="359" t="s">
        <v>88</v>
      </c>
      <c r="C22" s="266">
        <f>24*Models!E22</f>
        <v>9.8000000000000007</v>
      </c>
      <c r="D22" s="266">
        <f>24*Models!D22</f>
        <v>8.3000000000000007</v>
      </c>
      <c r="E22" s="266">
        <f>24*Models!C22</f>
        <v>5.4</v>
      </c>
      <c r="F22" s="257">
        <f>24*Models!B22</f>
        <v>3.5999999999999996</v>
      </c>
      <c r="G22" s="375"/>
      <c r="H22" s="372" t="s">
        <v>171</v>
      </c>
    </row>
    <row r="23" spans="1:8" x14ac:dyDescent="0.2">
      <c r="A23" s="249" t="s">
        <v>89</v>
      </c>
      <c r="B23" s="359" t="s">
        <v>88</v>
      </c>
      <c r="C23" s="266">
        <f>C36*30/60</f>
        <v>5.5</v>
      </c>
      <c r="D23" s="266">
        <f>D36*30/60</f>
        <v>6</v>
      </c>
      <c r="E23" s="266">
        <f>E36*45/60</f>
        <v>6</v>
      </c>
      <c r="F23" s="257">
        <f>F36*45/60</f>
        <v>3</v>
      </c>
      <c r="G23" s="375"/>
      <c r="H23" s="372" t="s">
        <v>181</v>
      </c>
    </row>
    <row r="24" spans="1:8" x14ac:dyDescent="0.2">
      <c r="A24" s="249" t="s">
        <v>90</v>
      </c>
      <c r="B24" s="359" t="s">
        <v>88</v>
      </c>
      <c r="C24" s="370">
        <v>4</v>
      </c>
      <c r="D24" s="370">
        <v>4</v>
      </c>
      <c r="E24" s="266">
        <v>5</v>
      </c>
      <c r="F24" s="266">
        <v>6</v>
      </c>
      <c r="G24" s="375"/>
      <c r="H24" s="372" t="s">
        <v>174</v>
      </c>
    </row>
    <row r="25" spans="1:8" x14ac:dyDescent="0.2">
      <c r="A25" s="249" t="s">
        <v>91</v>
      </c>
      <c r="B25" s="359" t="s">
        <v>88</v>
      </c>
      <c r="C25" s="266">
        <f>C36*1/12</f>
        <v>0.91666666666666663</v>
      </c>
      <c r="D25" s="266">
        <f>D36*1/12</f>
        <v>1</v>
      </c>
      <c r="E25" s="266">
        <f>E36*1/12</f>
        <v>0.66666666666666663</v>
      </c>
      <c r="F25" s="257">
        <f>F36*1/12</f>
        <v>0.33333333333333331</v>
      </c>
      <c r="G25" s="375"/>
      <c r="H25" s="372" t="s">
        <v>182</v>
      </c>
    </row>
    <row r="26" spans="1:8" x14ac:dyDescent="0.2">
      <c r="A26" s="249" t="s">
        <v>217</v>
      </c>
      <c r="B26" s="359" t="s">
        <v>88</v>
      </c>
      <c r="C26" s="266">
        <f>1%*24</f>
        <v>0.24</v>
      </c>
      <c r="D26" s="266">
        <f>1%*24</f>
        <v>0.24</v>
      </c>
      <c r="E26" s="266">
        <f>1%*24</f>
        <v>0.24</v>
      </c>
      <c r="F26" s="257">
        <f>1%*24</f>
        <v>0.24</v>
      </c>
      <c r="G26" s="375"/>
      <c r="H26" s="373" t="s">
        <v>176</v>
      </c>
    </row>
    <row r="27" spans="1:8" x14ac:dyDescent="0.2">
      <c r="A27" s="249" t="s">
        <v>218</v>
      </c>
      <c r="B27" s="359" t="s">
        <v>88</v>
      </c>
      <c r="C27" s="370">
        <f>(48/365*24-C28)*0.33</f>
        <v>0.7445342465753424</v>
      </c>
      <c r="D27" s="370">
        <f>(48/365*24-D28)*0.66</f>
        <v>1.4890684931506848</v>
      </c>
      <c r="E27" s="370">
        <f>(48/365*24-E28)*1.33</f>
        <v>2.8809986301369856</v>
      </c>
      <c r="F27" s="370">
        <f>(48/365*24-F28)*1.66</f>
        <v>3.4464328767123278</v>
      </c>
      <c r="G27" s="375"/>
      <c r="H27" s="372" t="s">
        <v>183</v>
      </c>
    </row>
    <row r="28" spans="1:8" x14ac:dyDescent="0.2">
      <c r="A28" s="249" t="s">
        <v>92</v>
      </c>
      <c r="B28" s="359" t="s">
        <v>88</v>
      </c>
      <c r="C28" s="266">
        <f>5%*18</f>
        <v>0.9</v>
      </c>
      <c r="D28" s="266">
        <f>5%*18</f>
        <v>0.9</v>
      </c>
      <c r="E28" s="266">
        <f>5.5%*18</f>
        <v>0.99</v>
      </c>
      <c r="F28" s="257">
        <f>6%*18</f>
        <v>1.08</v>
      </c>
      <c r="G28" s="375"/>
      <c r="H28" s="372" t="s">
        <v>187</v>
      </c>
    </row>
    <row r="29" spans="1:8" x14ac:dyDescent="0.2">
      <c r="A29" s="249" t="s">
        <v>160</v>
      </c>
      <c r="B29" s="359" t="s">
        <v>88</v>
      </c>
      <c r="C29" s="370">
        <f>12/340*24</f>
        <v>0.84705882352941175</v>
      </c>
      <c r="D29" s="370">
        <f t="shared" ref="D29:F29" si="4">12/340*24</f>
        <v>0.84705882352941175</v>
      </c>
      <c r="E29" s="370">
        <f t="shared" si="4"/>
        <v>0.84705882352941175</v>
      </c>
      <c r="F29" s="371">
        <f t="shared" si="4"/>
        <v>0.84705882352941175</v>
      </c>
      <c r="G29" s="375"/>
      <c r="H29" s="372" t="s">
        <v>184</v>
      </c>
    </row>
    <row r="30" spans="1:8" x14ac:dyDescent="0.2">
      <c r="A30" s="249" t="s">
        <v>161</v>
      </c>
      <c r="B30" s="359" t="s">
        <v>88</v>
      </c>
      <c r="C30" s="370">
        <f>15/340*24</f>
        <v>1.0588235294117647</v>
      </c>
      <c r="D30" s="370">
        <f t="shared" ref="D30:F30" si="5">15/340*24</f>
        <v>1.0588235294117647</v>
      </c>
      <c r="E30" s="370">
        <f t="shared" si="5"/>
        <v>1.0588235294117647</v>
      </c>
      <c r="F30" s="371">
        <f t="shared" si="5"/>
        <v>1.0588235294117647</v>
      </c>
      <c r="G30" s="375"/>
      <c r="H30" s="372" t="s">
        <v>185</v>
      </c>
    </row>
    <row r="31" spans="1:8" ht="13.5" thickBot="1" x14ac:dyDescent="0.25">
      <c r="A31" s="252" t="s">
        <v>93</v>
      </c>
      <c r="B31" s="360" t="s">
        <v>88</v>
      </c>
      <c r="C31" s="267">
        <f>24-SUM(C22:C30)</f>
        <v>-7.0832661831836674E-3</v>
      </c>
      <c r="D31" s="267">
        <f>24-SUM(D22:D30)</f>
        <v>0.16504915390813935</v>
      </c>
      <c r="E31" s="267">
        <f>24-SUM(E22:E30)</f>
        <v>0.9164523502551738</v>
      </c>
      <c r="F31" s="270">
        <f>24-SUM(F22:F30)</f>
        <v>4.3943514370131638</v>
      </c>
      <c r="G31" s="375"/>
      <c r="H31" s="372" t="s">
        <v>186</v>
      </c>
    </row>
    <row r="32" spans="1:8" x14ac:dyDescent="0.2">
      <c r="A32" s="248" t="s">
        <v>94</v>
      </c>
      <c r="B32" s="361" t="s">
        <v>88</v>
      </c>
      <c r="C32" s="265">
        <f>SUM(C22:C31)</f>
        <v>24</v>
      </c>
      <c r="D32" s="265">
        <f>SUM(D22:D31)</f>
        <v>24</v>
      </c>
      <c r="E32" s="265">
        <f>SUM(E22:E31)</f>
        <v>24</v>
      </c>
      <c r="F32" s="254">
        <f>SUM(F22:F31)</f>
        <v>24</v>
      </c>
      <c r="G32" s="375"/>
      <c r="H32" s="372"/>
    </row>
    <row r="33" spans="1:8" x14ac:dyDescent="0.2">
      <c r="A33" s="249" t="s">
        <v>95</v>
      </c>
      <c r="B33" s="359" t="s">
        <v>96</v>
      </c>
      <c r="C33" s="268">
        <f>(C22+C23)/C32</f>
        <v>0.63750000000000007</v>
      </c>
      <c r="D33" s="268">
        <f>(D22+D23)/D32</f>
        <v>0.59583333333333333</v>
      </c>
      <c r="E33" s="268">
        <f>(E22+E23)/E32</f>
        <v>0.47500000000000003</v>
      </c>
      <c r="F33" s="256">
        <f>(F22+F23)/F32</f>
        <v>0.27499999999999997</v>
      </c>
      <c r="G33" s="376"/>
      <c r="H33" s="372" t="s">
        <v>180</v>
      </c>
    </row>
    <row r="34" spans="1:8" x14ac:dyDescent="0.2">
      <c r="A34" s="249" t="s">
        <v>97</v>
      </c>
      <c r="B34" s="359" t="s">
        <v>98</v>
      </c>
      <c r="C34" s="266">
        <f>C22*Models!$F$15</f>
        <v>16.873566499999999</v>
      </c>
      <c r="D34" s="266">
        <f>D22*Models!$F$13</f>
        <v>18.470052250000002</v>
      </c>
      <c r="E34" s="266">
        <f>E22*Models!$F$11</f>
        <v>11.472961500000002</v>
      </c>
      <c r="F34" s="257">
        <f>F22*Models!$F$9</f>
        <v>6.4495349999999991</v>
      </c>
      <c r="G34" s="375"/>
      <c r="H34" s="372"/>
    </row>
    <row r="35" spans="1:8" x14ac:dyDescent="0.2">
      <c r="A35" s="249" t="s">
        <v>99</v>
      </c>
      <c r="B35" s="359" t="s">
        <v>98</v>
      </c>
      <c r="C35" s="266">
        <f>C34*6/7</f>
        <v>14.463057000000001</v>
      </c>
      <c r="D35" s="266">
        <f>D34*6/7</f>
        <v>15.831473357142858</v>
      </c>
      <c r="E35" s="266">
        <f>E34*6/7</f>
        <v>9.8339670000000012</v>
      </c>
      <c r="F35" s="257">
        <f>F34*6/7</f>
        <v>5.5281728571428568</v>
      </c>
      <c r="G35" s="375"/>
      <c r="H35" s="372"/>
    </row>
    <row r="36" spans="1:8" ht="13.5" thickBot="1" x14ac:dyDescent="0.25">
      <c r="A36" s="251" t="s">
        <v>109</v>
      </c>
      <c r="B36" s="362"/>
      <c r="C36" s="269">
        <f>ROUND(C34/Inputs!$J$6,0)</f>
        <v>11</v>
      </c>
      <c r="D36" s="269">
        <f>ROUND(D34/Inputs!$J$6,0)</f>
        <v>12</v>
      </c>
      <c r="E36" s="269">
        <f>ROUND(E34/Inputs!$J$6,0)</f>
        <v>8</v>
      </c>
      <c r="F36" s="259">
        <f>ROUND(F34/Inputs!$J$6,0)</f>
        <v>4</v>
      </c>
      <c r="G36" s="377"/>
      <c r="H36" s="372"/>
    </row>
    <row r="37" spans="1:8" ht="13.5" thickBot="1" x14ac:dyDescent="0.25">
      <c r="C37" s="231"/>
      <c r="H37" s="372"/>
    </row>
    <row r="38" spans="1:8" x14ac:dyDescent="0.2">
      <c r="A38" s="272" t="s">
        <v>113</v>
      </c>
      <c r="B38" s="272" t="s">
        <v>86</v>
      </c>
      <c r="C38" s="365" t="s">
        <v>59</v>
      </c>
      <c r="D38" s="365" t="s">
        <v>28</v>
      </c>
      <c r="E38" s="365" t="s">
        <v>29</v>
      </c>
      <c r="F38" s="365" t="s">
        <v>30</v>
      </c>
      <c r="G38" s="380"/>
      <c r="H38" s="372" t="s">
        <v>107</v>
      </c>
    </row>
    <row r="39" spans="1:8" x14ac:dyDescent="0.2">
      <c r="A39" s="249" t="s">
        <v>87</v>
      </c>
      <c r="B39" s="359" t="s">
        <v>88</v>
      </c>
      <c r="C39" s="266">
        <f>24*Models!E23</f>
        <v>11.126666666666667</v>
      </c>
      <c r="D39" s="266">
        <f>24*Models!D23</f>
        <v>10.106666666666666</v>
      </c>
      <c r="E39" s="266">
        <f>24*Models!C23</f>
        <v>6.92</v>
      </c>
      <c r="F39" s="266">
        <f>24*Models!B23</f>
        <v>3.5999999999999996</v>
      </c>
      <c r="G39" s="375"/>
      <c r="H39" s="372" t="s">
        <v>171</v>
      </c>
    </row>
    <row r="40" spans="1:8" x14ac:dyDescent="0.2">
      <c r="A40" s="249" t="s">
        <v>100</v>
      </c>
      <c r="B40" s="359" t="s">
        <v>88</v>
      </c>
      <c r="C40" s="266">
        <f>C54*1/12</f>
        <v>1.0833333333333333</v>
      </c>
      <c r="D40" s="266">
        <f>D54*1/12</f>
        <v>1.25</v>
      </c>
      <c r="E40" s="266">
        <v>0</v>
      </c>
      <c r="F40" s="266">
        <v>0</v>
      </c>
      <c r="G40" s="375"/>
      <c r="H40" s="372" t="s">
        <v>188</v>
      </c>
    </row>
    <row r="41" spans="1:8" x14ac:dyDescent="0.2">
      <c r="A41" s="250" t="s">
        <v>89</v>
      </c>
      <c r="B41" s="359" t="s">
        <v>88</v>
      </c>
      <c r="C41" s="266">
        <f>C54*1/12</f>
        <v>1.0833333333333333</v>
      </c>
      <c r="D41" s="266">
        <f>D54*1/12</f>
        <v>1.25</v>
      </c>
      <c r="E41" s="266">
        <f>E54*30/60</f>
        <v>5</v>
      </c>
      <c r="F41" s="266">
        <f>F54*3/4</f>
        <v>3</v>
      </c>
      <c r="G41" s="375"/>
      <c r="H41" s="372" t="s">
        <v>189</v>
      </c>
    </row>
    <row r="42" spans="1:8" x14ac:dyDescent="0.2">
      <c r="A42" s="249" t="s">
        <v>90</v>
      </c>
      <c r="B42" s="359" t="s">
        <v>88</v>
      </c>
      <c r="C42" s="370">
        <v>4</v>
      </c>
      <c r="D42" s="266">
        <v>4</v>
      </c>
      <c r="E42" s="266">
        <v>4</v>
      </c>
      <c r="F42" s="266">
        <v>6</v>
      </c>
      <c r="G42" s="375"/>
      <c r="H42" s="372" t="s">
        <v>174</v>
      </c>
    </row>
    <row r="43" spans="1:8" x14ac:dyDescent="0.2">
      <c r="A43" s="249" t="s">
        <v>91</v>
      </c>
      <c r="B43" s="359" t="s">
        <v>88</v>
      </c>
      <c r="C43" s="266">
        <f>C54*1/6</f>
        <v>2.1666666666666665</v>
      </c>
      <c r="D43" s="266">
        <f>D54*1/6</f>
        <v>2.5</v>
      </c>
      <c r="E43" s="266">
        <f>E54*1/12</f>
        <v>0.83333333333333337</v>
      </c>
      <c r="F43" s="266">
        <f>F54*1/12</f>
        <v>0.33333333333333331</v>
      </c>
      <c r="G43" s="375"/>
      <c r="H43" s="372" t="s">
        <v>190</v>
      </c>
    </row>
    <row r="44" spans="1:8" x14ac:dyDescent="0.2">
      <c r="A44" s="249" t="s">
        <v>217</v>
      </c>
      <c r="B44" s="359" t="s">
        <v>88</v>
      </c>
      <c r="C44" s="266">
        <f>1%*24</f>
        <v>0.24</v>
      </c>
      <c r="D44" s="266">
        <f>1%*24</f>
        <v>0.24</v>
      </c>
      <c r="E44" s="266">
        <f>1%*24</f>
        <v>0.24</v>
      </c>
      <c r="F44" s="266">
        <f>1%*24</f>
        <v>0.24</v>
      </c>
      <c r="G44" s="375"/>
      <c r="H44" s="373" t="s">
        <v>176</v>
      </c>
    </row>
    <row r="45" spans="1:8" x14ac:dyDescent="0.2">
      <c r="A45" s="249" t="s">
        <v>218</v>
      </c>
      <c r="B45" s="359" t="s">
        <v>88</v>
      </c>
      <c r="C45" s="370">
        <f>(48/365*24-C46)*0.33</f>
        <v>0.7445342465753424</v>
      </c>
      <c r="D45" s="370">
        <f>(48/365*24-D46)*0.66</f>
        <v>1.4890684931506848</v>
      </c>
      <c r="E45" s="370">
        <f>(48/365*24-E46)*1.33</f>
        <v>2.8809986301369856</v>
      </c>
      <c r="F45" s="370">
        <f>(48/365*24-F46)*1.66</f>
        <v>3.4464328767123278</v>
      </c>
      <c r="G45" s="375"/>
      <c r="H45" s="372" t="s">
        <v>183</v>
      </c>
    </row>
    <row r="46" spans="1:8" x14ac:dyDescent="0.2">
      <c r="A46" s="249" t="s">
        <v>92</v>
      </c>
      <c r="B46" s="359" t="s">
        <v>88</v>
      </c>
      <c r="C46" s="266">
        <f>5%*18</f>
        <v>0.9</v>
      </c>
      <c r="D46" s="266">
        <f>5%*18</f>
        <v>0.9</v>
      </c>
      <c r="E46" s="266">
        <f>5.5%*18</f>
        <v>0.99</v>
      </c>
      <c r="F46" s="266">
        <f>6%*18</f>
        <v>1.08</v>
      </c>
      <c r="G46" s="375"/>
      <c r="H46" s="372" t="s">
        <v>187</v>
      </c>
    </row>
    <row r="47" spans="1:8" x14ac:dyDescent="0.2">
      <c r="A47" s="249" t="s">
        <v>160</v>
      </c>
      <c r="B47" s="359" t="s">
        <v>88</v>
      </c>
      <c r="C47" s="370">
        <f>12/340*24</f>
        <v>0.84705882352941175</v>
      </c>
      <c r="D47" s="370">
        <f t="shared" ref="D47:F47" si="6">12/340*24</f>
        <v>0.84705882352941175</v>
      </c>
      <c r="E47" s="370">
        <f t="shared" si="6"/>
        <v>0.84705882352941175</v>
      </c>
      <c r="F47" s="370">
        <f t="shared" si="6"/>
        <v>0.84705882352941175</v>
      </c>
      <c r="G47" s="375"/>
      <c r="H47" s="372" t="s">
        <v>184</v>
      </c>
    </row>
    <row r="48" spans="1:8" x14ac:dyDescent="0.2">
      <c r="A48" s="249" t="s">
        <v>161</v>
      </c>
      <c r="B48" s="359" t="s">
        <v>88</v>
      </c>
      <c r="C48" s="370">
        <f>15/340*24</f>
        <v>1.0588235294117647</v>
      </c>
      <c r="D48" s="370">
        <f t="shared" ref="D48:F48" si="7">15/340*24</f>
        <v>1.0588235294117647</v>
      </c>
      <c r="E48" s="370">
        <f t="shared" si="7"/>
        <v>1.0588235294117647</v>
      </c>
      <c r="F48" s="370">
        <f t="shared" si="7"/>
        <v>1.0588235294117647</v>
      </c>
      <c r="G48" s="375"/>
      <c r="H48" s="372" t="s">
        <v>185</v>
      </c>
    </row>
    <row r="49" spans="1:16" ht="13.5" thickBot="1" x14ac:dyDescent="0.25">
      <c r="A49" s="252" t="s">
        <v>93</v>
      </c>
      <c r="B49" s="360" t="s">
        <v>88</v>
      </c>
      <c r="C49" s="267">
        <f>24-SUM(C39:C48)</f>
        <v>0.74958340048348049</v>
      </c>
      <c r="D49" s="267">
        <f>24-SUM(D39:D48)</f>
        <v>0.35838248724147448</v>
      </c>
      <c r="E49" s="267">
        <f>24-SUM(E39:E48)</f>
        <v>1.2297856835885064</v>
      </c>
      <c r="F49" s="267">
        <f>24-SUM(F39:F48)</f>
        <v>4.3943514370131638</v>
      </c>
      <c r="G49" s="375"/>
      <c r="H49" s="372" t="s">
        <v>186</v>
      </c>
    </row>
    <row r="50" spans="1:16" x14ac:dyDescent="0.2">
      <c r="A50" s="248" t="s">
        <v>94</v>
      </c>
      <c r="B50" s="361" t="s">
        <v>88</v>
      </c>
      <c r="C50" s="265">
        <f>SUM(C39:C49)</f>
        <v>24</v>
      </c>
      <c r="D50" s="265">
        <f>SUM(D39:D49)</f>
        <v>24</v>
      </c>
      <c r="E50" s="265">
        <f>SUM(E39:E49)</f>
        <v>24</v>
      </c>
      <c r="F50" s="265">
        <f>SUM(F39:F49)</f>
        <v>24</v>
      </c>
      <c r="G50" s="375"/>
    </row>
    <row r="51" spans="1:16" x14ac:dyDescent="0.2">
      <c r="A51" s="249" t="s">
        <v>95</v>
      </c>
      <c r="B51" s="359" t="s">
        <v>96</v>
      </c>
      <c r="C51" s="268">
        <f>(C39+C40+C41)/C50</f>
        <v>0.55388888888888899</v>
      </c>
      <c r="D51" s="268">
        <f>(D39+D40+D41)/D50</f>
        <v>0.52527777777777773</v>
      </c>
      <c r="E51" s="268">
        <f>(E39+E41)/E50</f>
        <v>0.49666666666666665</v>
      </c>
      <c r="F51" s="268">
        <f>(F39+F41)/F50</f>
        <v>0.27499999999999997</v>
      </c>
      <c r="G51" s="376"/>
      <c r="H51" s="372" t="s">
        <v>180</v>
      </c>
    </row>
    <row r="52" spans="1:16" x14ac:dyDescent="0.2">
      <c r="A52" s="249" t="s">
        <v>97</v>
      </c>
      <c r="B52" s="359" t="s">
        <v>98</v>
      </c>
      <c r="C52" s="266">
        <f>C39*Models!$F$15</f>
        <v>19.157811216666666</v>
      </c>
      <c r="D52" s="266">
        <f>D39*Models!$F$13</f>
        <v>22.490441133333331</v>
      </c>
      <c r="E52" s="266">
        <f>E39*Models!$F$11</f>
        <v>14.702387700000001</v>
      </c>
      <c r="F52" s="266">
        <f>F39*Models!$F$9</f>
        <v>6.4495349999999991</v>
      </c>
      <c r="G52" s="375"/>
    </row>
    <row r="53" spans="1:16" x14ac:dyDescent="0.2">
      <c r="A53" s="249" t="s">
        <v>99</v>
      </c>
      <c r="B53" s="359" t="s">
        <v>98</v>
      </c>
      <c r="C53" s="266">
        <f>C52*6/7</f>
        <v>16.420981042857143</v>
      </c>
      <c r="D53" s="266">
        <f>D52*6/7</f>
        <v>19.277520971428569</v>
      </c>
      <c r="E53" s="266">
        <f>E52*6/7</f>
        <v>12.6020466</v>
      </c>
      <c r="F53" s="266">
        <f>F52*6/7</f>
        <v>5.5281728571428568</v>
      </c>
      <c r="G53" s="375"/>
    </row>
    <row r="54" spans="1:16" ht="13.5" thickBot="1" x14ac:dyDescent="0.25">
      <c r="A54" s="251" t="s">
        <v>109</v>
      </c>
      <c r="B54" s="362"/>
      <c r="C54" s="269">
        <f>ROUND(C52/Inputs!$J$6,0)</f>
        <v>13</v>
      </c>
      <c r="D54" s="269">
        <f>ROUND(D52/Inputs!$J$6,0)</f>
        <v>15</v>
      </c>
      <c r="E54" s="269">
        <f>ROUND(E52/Inputs!$J$6,0)</f>
        <v>10</v>
      </c>
      <c r="F54" s="269">
        <f>ROUND(F52/Inputs!$J$6,0)</f>
        <v>4</v>
      </c>
      <c r="G54" s="377"/>
    </row>
    <row r="55" spans="1:16" ht="13.5" thickBot="1" x14ac:dyDescent="0.25"/>
    <row r="56" spans="1:16" ht="13.5" thickBot="1" x14ac:dyDescent="0.25">
      <c r="A56" s="374"/>
      <c r="B56" s="372" t="s">
        <v>194</v>
      </c>
    </row>
    <row r="57" spans="1:16" x14ac:dyDescent="0.2">
      <c r="C57" s="231"/>
    </row>
    <row r="58" spans="1:16" x14ac:dyDescent="0.2">
      <c r="C58" s="231"/>
    </row>
    <row r="59" spans="1:16" ht="20.25" x14ac:dyDescent="0.3">
      <c r="C59" s="231"/>
      <c r="E59" s="347" t="s">
        <v>193</v>
      </c>
    </row>
    <row r="60" spans="1:16" x14ac:dyDescent="0.2">
      <c r="C60" s="231"/>
    </row>
    <row r="61" spans="1:16" x14ac:dyDescent="0.2">
      <c r="C61" s="231"/>
    </row>
    <row r="62" spans="1:16" x14ac:dyDescent="0.2">
      <c r="C62" s="231"/>
      <c r="J62" s="230" t="s">
        <v>149</v>
      </c>
    </row>
    <row r="63" spans="1:16" x14ac:dyDescent="0.2">
      <c r="C63" s="231"/>
      <c r="J63" s="230" t="s">
        <v>156</v>
      </c>
      <c r="M63" s="230" t="s">
        <v>157</v>
      </c>
      <c r="N63" s="230" t="s">
        <v>96</v>
      </c>
      <c r="O63" s="230" t="s">
        <v>88</v>
      </c>
    </row>
    <row r="64" spans="1:16" x14ac:dyDescent="0.2">
      <c r="I64" s="356" t="s">
        <v>151</v>
      </c>
      <c r="J64" s="230" t="s">
        <v>150</v>
      </c>
      <c r="M64" s="230">
        <v>48</v>
      </c>
      <c r="N64" s="358">
        <f>M64/340*100</f>
        <v>14.117647058823529</v>
      </c>
      <c r="O64" s="357">
        <f>N64*24/100</f>
        <v>3.388235294117647</v>
      </c>
      <c r="P64" s="230" t="s">
        <v>90</v>
      </c>
    </row>
    <row r="65" spans="9:16" x14ac:dyDescent="0.2">
      <c r="I65" s="356" t="s">
        <v>152</v>
      </c>
      <c r="J65" s="230" t="s">
        <v>153</v>
      </c>
      <c r="M65" s="230">
        <v>15</v>
      </c>
      <c r="N65" s="358">
        <f t="shared" ref="N65:N66" si="8">M65/340*100</f>
        <v>4.4117647058823533</v>
      </c>
      <c r="O65" s="357">
        <f t="shared" ref="O65:O66" si="9">N65*24/100</f>
        <v>1.0588235294117647</v>
      </c>
      <c r="P65" s="230" t="s">
        <v>159</v>
      </c>
    </row>
    <row r="66" spans="9:16" x14ac:dyDescent="0.2">
      <c r="I66" s="356" t="s">
        <v>154</v>
      </c>
      <c r="J66" s="230" t="s">
        <v>155</v>
      </c>
      <c r="M66" s="230">
        <v>12</v>
      </c>
      <c r="N66" s="358">
        <f t="shared" si="8"/>
        <v>3.5294117647058822</v>
      </c>
      <c r="O66" s="357">
        <f t="shared" si="9"/>
        <v>0.84705882352941175</v>
      </c>
      <c r="P66" s="230" t="s">
        <v>158</v>
      </c>
    </row>
  </sheetData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zoomScaleNormal="100" workbookViewId="0">
      <selection activeCell="N47" sqref="N47"/>
    </sheetView>
  </sheetViews>
  <sheetFormatPr defaultColWidth="11.42578125" defaultRowHeight="11.25" x14ac:dyDescent="0.25"/>
  <cols>
    <col min="1" max="1" width="10.28515625" style="95" bestFit="1" customWidth="1"/>
    <col min="2" max="3" width="8.28515625" style="95" bestFit="1" customWidth="1"/>
    <col min="4" max="4" width="6.5703125" style="95" bestFit="1" customWidth="1"/>
    <col min="5" max="5" width="10.28515625" style="95" customWidth="1"/>
    <col min="6" max="6" width="5.42578125" style="95" bestFit="1" customWidth="1"/>
    <col min="7" max="10" width="5.7109375" style="95" customWidth="1"/>
    <col min="11" max="12" width="5.7109375" style="167" customWidth="1"/>
    <col min="13" max="13" width="4.7109375" style="167" customWidth="1"/>
    <col min="14" max="18" width="4.7109375" style="95" customWidth="1"/>
    <col min="19" max="30" width="5.5703125" style="95" customWidth="1"/>
    <col min="31" max="33" width="4.7109375" style="95" customWidth="1"/>
    <col min="34" max="46" width="5.7109375" style="95" customWidth="1"/>
    <col min="47" max="16384" width="11.42578125" style="95"/>
  </cols>
  <sheetData>
    <row r="1" spans="1:36" ht="12" thickBot="1" x14ac:dyDescent="0.3">
      <c r="A1" s="577" t="s">
        <v>0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9"/>
    </row>
    <row r="2" spans="1:36" ht="12" customHeight="1" thickBot="1" x14ac:dyDescent="0.3">
      <c r="A2" s="543" t="s">
        <v>3</v>
      </c>
      <c r="B2" s="546" t="s">
        <v>19</v>
      </c>
      <c r="C2" s="546" t="s">
        <v>20</v>
      </c>
      <c r="D2" s="549" t="s">
        <v>4</v>
      </c>
      <c r="E2" s="552" t="s">
        <v>104</v>
      </c>
      <c r="F2" s="580" t="s">
        <v>5</v>
      </c>
      <c r="G2" s="581"/>
      <c r="H2" s="581"/>
      <c r="I2" s="582"/>
      <c r="J2" s="580" t="s">
        <v>5</v>
      </c>
      <c r="K2" s="581"/>
      <c r="L2" s="582"/>
      <c r="M2" s="574" t="s">
        <v>32</v>
      </c>
      <c r="N2" s="575"/>
      <c r="O2" s="575"/>
      <c r="P2" s="533" t="s">
        <v>34</v>
      </c>
      <c r="Q2" s="534"/>
      <c r="R2" s="535"/>
      <c r="S2" s="533" t="s">
        <v>74</v>
      </c>
      <c r="T2" s="534"/>
      <c r="U2" s="535"/>
      <c r="V2" s="533" t="s">
        <v>75</v>
      </c>
      <c r="W2" s="534"/>
      <c r="X2" s="535"/>
      <c r="Y2" s="533" t="s">
        <v>76</v>
      </c>
      <c r="Z2" s="534"/>
      <c r="AA2" s="535"/>
      <c r="AB2" s="533" t="s">
        <v>77</v>
      </c>
      <c r="AC2" s="534"/>
      <c r="AD2" s="535"/>
      <c r="AE2" s="533" t="s">
        <v>46</v>
      </c>
      <c r="AF2" s="534"/>
      <c r="AG2" s="535"/>
    </row>
    <row r="3" spans="1:36" ht="15" customHeight="1" thickBot="1" x14ac:dyDescent="0.3">
      <c r="A3" s="543"/>
      <c r="B3" s="546"/>
      <c r="C3" s="546"/>
      <c r="D3" s="549"/>
      <c r="E3" s="552"/>
      <c r="F3" s="583" t="s">
        <v>26</v>
      </c>
      <c r="G3" s="584"/>
      <c r="H3" s="584"/>
      <c r="I3" s="585"/>
      <c r="J3" s="589" t="s">
        <v>27</v>
      </c>
      <c r="K3" s="590"/>
      <c r="L3" s="591"/>
      <c r="M3" s="589" t="s">
        <v>27</v>
      </c>
      <c r="N3" s="590"/>
      <c r="O3" s="590"/>
      <c r="P3" s="541" t="s">
        <v>39</v>
      </c>
      <c r="Q3" s="539"/>
      <c r="R3" s="540"/>
      <c r="S3" s="541" t="s">
        <v>39</v>
      </c>
      <c r="T3" s="539"/>
      <c r="U3" s="540"/>
      <c r="V3" s="541" t="s">
        <v>39</v>
      </c>
      <c r="W3" s="539"/>
      <c r="X3" s="540"/>
      <c r="Y3" s="541" t="s">
        <v>39</v>
      </c>
      <c r="Z3" s="539"/>
      <c r="AA3" s="540"/>
      <c r="AB3" s="541" t="s">
        <v>39</v>
      </c>
      <c r="AC3" s="539"/>
      <c r="AD3" s="540"/>
      <c r="AE3" s="541" t="s">
        <v>39</v>
      </c>
      <c r="AF3" s="539"/>
      <c r="AG3" s="540"/>
      <c r="AH3" s="574" t="s">
        <v>63</v>
      </c>
      <c r="AI3" s="575"/>
      <c r="AJ3" s="576"/>
    </row>
    <row r="4" spans="1:36" ht="13.5" thickBot="1" x14ac:dyDescent="0.3">
      <c r="A4" s="543"/>
      <c r="B4" s="546"/>
      <c r="C4" s="546"/>
      <c r="D4" s="549"/>
      <c r="E4" s="552"/>
      <c r="F4" s="96" t="s">
        <v>6</v>
      </c>
      <c r="G4" s="97" t="s">
        <v>7</v>
      </c>
      <c r="H4" s="97" t="s">
        <v>8</v>
      </c>
      <c r="I4" s="98" t="s">
        <v>9</v>
      </c>
      <c r="J4" s="99" t="s">
        <v>37</v>
      </c>
      <c r="K4" s="100" t="s">
        <v>23</v>
      </c>
      <c r="L4" s="101" t="s">
        <v>38</v>
      </c>
      <c r="M4" s="99" t="s">
        <v>37</v>
      </c>
      <c r="N4" s="100" t="s">
        <v>23</v>
      </c>
      <c r="O4" s="102" t="s">
        <v>38</v>
      </c>
      <c r="P4" s="103" t="s">
        <v>80</v>
      </c>
      <c r="Q4" s="104" t="s">
        <v>81</v>
      </c>
      <c r="R4" s="105" t="s">
        <v>82</v>
      </c>
      <c r="S4" s="103" t="s">
        <v>80</v>
      </c>
      <c r="T4" s="104" t="s">
        <v>81</v>
      </c>
      <c r="U4" s="105" t="s">
        <v>82</v>
      </c>
      <c r="V4" s="103" t="s">
        <v>80</v>
      </c>
      <c r="W4" s="104" t="s">
        <v>81</v>
      </c>
      <c r="X4" s="105" t="s">
        <v>82</v>
      </c>
      <c r="Y4" s="103" t="s">
        <v>80</v>
      </c>
      <c r="Z4" s="104" t="s">
        <v>81</v>
      </c>
      <c r="AA4" s="105" t="s">
        <v>82</v>
      </c>
      <c r="AB4" s="103" t="s">
        <v>80</v>
      </c>
      <c r="AC4" s="104" t="s">
        <v>81</v>
      </c>
      <c r="AD4" s="105" t="s">
        <v>82</v>
      </c>
      <c r="AE4" s="103" t="s">
        <v>80</v>
      </c>
      <c r="AF4" s="104" t="s">
        <v>81</v>
      </c>
      <c r="AG4" s="105" t="s">
        <v>82</v>
      </c>
      <c r="AH4" s="171" t="s">
        <v>37</v>
      </c>
      <c r="AI4" s="172" t="s">
        <v>23</v>
      </c>
      <c r="AJ4" s="173" t="s">
        <v>38</v>
      </c>
    </row>
    <row r="5" spans="1:36" ht="12" thickBot="1" x14ac:dyDescent="0.3">
      <c r="A5" s="543"/>
      <c r="B5" s="546"/>
      <c r="C5" s="546"/>
      <c r="D5" s="549"/>
      <c r="E5" s="553"/>
      <c r="F5" s="106" t="s">
        <v>44</v>
      </c>
      <c r="G5" s="107" t="s">
        <v>10</v>
      </c>
      <c r="H5" s="107" t="s">
        <v>11</v>
      </c>
      <c r="I5" s="108" t="s">
        <v>12</v>
      </c>
      <c r="J5" s="592" t="s">
        <v>33</v>
      </c>
      <c r="K5" s="593"/>
      <c r="L5" s="594"/>
      <c r="M5" s="592" t="s">
        <v>31</v>
      </c>
      <c r="N5" s="593"/>
      <c r="O5" s="593"/>
      <c r="P5" s="595" t="s">
        <v>40</v>
      </c>
      <c r="Q5" s="596"/>
      <c r="R5" s="597"/>
      <c r="S5" s="595" t="s">
        <v>40</v>
      </c>
      <c r="T5" s="596"/>
      <c r="U5" s="597"/>
      <c r="V5" s="574" t="s">
        <v>40</v>
      </c>
      <c r="W5" s="575"/>
      <c r="X5" s="576"/>
      <c r="Y5" s="574" t="s">
        <v>40</v>
      </c>
      <c r="Z5" s="575"/>
      <c r="AA5" s="576"/>
      <c r="AB5" s="574" t="s">
        <v>40</v>
      </c>
      <c r="AC5" s="575"/>
      <c r="AD5" s="576"/>
      <c r="AE5" s="574" t="s">
        <v>40</v>
      </c>
      <c r="AF5" s="575"/>
      <c r="AG5" s="576"/>
      <c r="AH5" s="574" t="s">
        <v>62</v>
      </c>
      <c r="AI5" s="575"/>
      <c r="AJ5" s="576"/>
    </row>
    <row r="6" spans="1:36" ht="12" thickBot="1" x14ac:dyDescent="0.3">
      <c r="A6" s="109">
        <v>26</v>
      </c>
      <c r="B6" s="110">
        <v>49118</v>
      </c>
      <c r="C6" s="110">
        <v>50323</v>
      </c>
      <c r="D6" s="111">
        <f t="shared" ref="D6:D19" si="0">C6-B6</f>
        <v>1205</v>
      </c>
      <c r="E6" s="112" t="s">
        <v>13</v>
      </c>
      <c r="F6" s="113">
        <v>0</v>
      </c>
      <c r="G6" s="114">
        <v>0</v>
      </c>
      <c r="H6" s="114">
        <v>0.15</v>
      </c>
      <c r="I6" s="115">
        <v>0.85</v>
      </c>
      <c r="J6" s="116">
        <f>K6-Inputs!C7</f>
        <v>62</v>
      </c>
      <c r="K6" s="117">
        <f>Inputs!B7</f>
        <v>73</v>
      </c>
      <c r="L6" s="118">
        <f>K6+Inputs!C7</f>
        <v>84</v>
      </c>
      <c r="M6" s="116">
        <f>N6-Inputs!E7</f>
        <v>96</v>
      </c>
      <c r="N6" s="117">
        <f>Inputs!D7</f>
        <v>115</v>
      </c>
      <c r="O6" s="119">
        <f>N6+Inputs!E7</f>
        <v>134</v>
      </c>
      <c r="P6" s="120">
        <f>IF($J6&lt;Models!$A$7,Models!$B$7,IF($J6&lt;Models!$A$8,(Models!$B$7+(Advancement!$J6-Models!$A$7)/Models!$A$8*(Models!$B$8-Models!$B$7)),IF($J6&lt;Models!$A$9,(Models!$B$8+(Advancement!$J6-Models!$A$8)/Models!$A$9*(Models!$B$9-Models!$B$8)),IF($J6&lt;Models!$A$10,(Models!$B$9+(Advancement!$J6-Models!$A$9)/Models!$A$10*(Models!$B$10-Models!$B$9)),IF($J6&lt;Models!$A$11,(Models!$B$10+(Advancement!$J6-Models!$A$10)/Models!$A$11*(Models!$B$11-Models!$B$10)),IF($J6&lt;Models!$A$12,(Models!$B$11+(Advancement!$J6-Models!$A$11)/Models!$A$12*(Models!$B$12-Models!$B$11)),IF($J6&lt;Models!$A$13,(Models!$B$12+(Advancement!$J6-Models!$A$12)/Models!$A$13*(Models!$B$13-Models!$B$12)),IF($J6&lt;Models!$A$14,(Models!$B$13+(Advancement!$J6-Models!$A$13)/Models!$A$14*(Models!$B$14-Models!$B$13)),IF($J6&lt;Models!$A$15,(Models!$B$14+(Advancement!$J6-Models!$A$14)/Models!$A$15*(Models!$B$15-Models!$B$14)),Models!$B$15)))))))))</f>
        <v>1.7942857142857143</v>
      </c>
      <c r="Q6" s="121">
        <f>IF($K6&lt;Models!$A$7,Models!$B$7,IF($K6&lt;Models!$A$8,(Models!$B$7+(Advancement!$K6-Models!$A$7)/Models!$A$8*(Models!$B$8-Models!$B$7)),IF($K6&lt;Models!$A$9,(Models!$B$8+(Advancement!$K6-Models!$A$8)/Models!$A$9*(Models!$B$9-Models!$B$8)),IF($K6&lt;Models!$A$10,(Models!$B$9+(Advancement!$K6-Models!$A$9)/Models!$A$10*(Models!$B$10-Models!$B$9)),IF($K6&lt;Models!$A$11,(Models!$B$10+(Advancement!$K6-Models!$A$10)/Models!$A$11*(Models!$B$11-Models!$B$10)),IF($K6&lt;Models!$A$12,(Models!$B$11+(Advancement!$K6-Models!$A$11)/Models!$A$12*(Models!$B$12-Models!$B$11)),IF($K6&lt;Models!$A$13,(Models!$B$12+(Advancement!$K6-Models!$A$12)/Models!$A$13*(Models!$B$13-Models!$B$12)),IF($K6&lt;Models!$A$14,(Models!$B$13+(Advancement!$K6-Models!$A$13)/Models!$A$14*(Models!$B$14-Models!$B$13)),IF($K6&lt;Models!$A$15,(Models!$B$14+(Advancement!$K6-Models!$A$14)/Models!$A$15*(Models!$B$15-Models!$B$14)),Models!$B$15)))))))))</f>
        <v>1.6</v>
      </c>
      <c r="R6" s="122">
        <f>IF($L6&lt;Models!$A$7,Models!$B$7,IF($L6&lt;Models!$A$8,(Models!$B$7+(Advancement!$L6-Models!$A$7)/Models!$A$8*(Models!$B$8-Models!$B$7)),IF($L6&lt;Models!$A$9,(Models!$B$8+(Advancement!$L6-Models!$A$8)/Models!$A$9*(Models!$B$9-Models!$B$8)),IF($L6&lt;Models!$A$10,(Models!$B$9+(Advancement!$L6-Models!$A$9)/Models!$A$10*(Models!$B$10-Models!$B$9)),IF($L6&lt;Models!$A$11,(Models!$B$10+(Advancement!$L6-Models!$A$10)/Models!$A$11*(Models!$B$11-Models!$B$10)),IF($L6&lt;Models!$A$12,(Models!$B$11+(Advancement!$L6-Models!$A$11)/Models!$A$12*(Models!$B$12-Models!$B$11)),IF($L6&lt;Models!$A$13,(Models!$B$12+(Advancement!$L6-Models!$A$12)/Models!$A$13*(Models!$B$13-Models!$B$12)),IF($L6&lt;Models!$A$14,(Models!$B$13+(Advancement!$L6-Models!$A$13)/Models!$A$14*(Models!$B$14-Models!$B$13)),IF($L6&lt;Models!$A$15,(Models!$B$14+(Advancement!$L6-Models!$A$14)/Models!$A$15*(Models!$B$15-Models!$B$14)),Models!$B$15)))))))))</f>
        <v>1.6</v>
      </c>
      <c r="S6" s="123">
        <f>IF(M6&lt;Models!$A$7,Models!$B$7,IF(M6&lt;Models!$A$8,(Models!$B$7+(Advancement!M6-Models!$A$7)/Models!$A$8*(Models!$B$8-Models!$B$7)),IF(M6&lt;Models!$A$9,(Models!$B$8+(Advancement!M6-Models!$A$8)/Models!$A$9*(Models!$B$9-Models!$B$8)),IF(M6&lt;Models!$A$10,(Models!$B$9+(Advancement!M6-Models!$A$9)/Models!$A$10*(Models!$B$10-Models!$B$9)),IF(M6&lt;Models!$A$11,(Models!$B$10+(Advancement!M6-Models!$A$10)/Models!$A$11*(Models!$B$11-Models!$B$10)),IF(M6&lt;Models!$A$12,(Models!$B$11+(Advancement!M6-Models!$A$11)/Models!$A$12*(Models!$B$12-Models!$B$11)),IF(M6&lt;Models!$A$13,(Models!$B$12+(Advancement!M6-Models!$A$12)/Models!$A$13*(Models!$B$13-Models!$B$12)),IF(M6&lt;Models!$A$14,(Models!$B$13+(Advancement!M6-Models!$A$13)/Models!$A$14*(Models!$B$14-Models!$B$13)),IF(M6&lt;Models!$A$15,(Models!$B$14+(Advancement!M6-Models!$A$14)/Models!$A$15*(Models!$B$15-Models!$B$14)),Models!$B$15)))))))))</f>
        <v>1.6</v>
      </c>
      <c r="T6" s="121">
        <f>-0.0059*(0.77*K6+12.4)+1.59</f>
        <v>1.1852010000000002</v>
      </c>
      <c r="U6" s="124">
        <f>-0.0059*(0.77*L6+12.4)+1.59</f>
        <v>1.1352280000000001</v>
      </c>
      <c r="V6" s="120">
        <f>(40.41*M6^(-0.437)-0.047*(0.77*J6+12.4)+3.15)*Inputs!$I$6/1000*60</f>
        <v>1.7465459646898465</v>
      </c>
      <c r="W6" s="121">
        <f>(40.41*N6^(-0.437)-0.047*(0.77*K6+12.4)+3.15)*Inputs!$I$6/1000*60</f>
        <v>1.5019505929163148</v>
      </c>
      <c r="X6" s="124">
        <f>(40.41*O6^(-0.437)-0.047*(0.77*L6+12.4)+3.15)*Inputs!$I$6/1000*60</f>
        <v>1.2839939895479764</v>
      </c>
      <c r="Y6" s="120">
        <f>IF($J6&lt;Models!$A$7,Models!$C$7,IF($J6&lt;Models!$A$8,(Models!$C$7+(Advancement!$J6-Models!$A$7)/Models!$A$8*(Models!$C$8-Models!$C$7)),IF($J6&lt;Models!$A$9,(Models!$C$8+(Advancement!$J6-Models!$A$8)/Models!$A$9*(Models!$C$9-Models!$C$8)),IF($J6&lt;Models!$A$10,(Models!$C$9+(Advancement!$J6-Models!$A$9)/Models!$A$10*(Models!$C$10-Models!$C$9)),IF($J6&lt;Models!$A$11,(Models!$C$10+(Advancement!$J6-Models!$A$10)/Models!$A$11*(Models!$C$11-Models!$C$10)),IF($J6&lt;Models!$A$12,(Models!$C$11+(Advancement!$J6-Models!$A$11)/Models!$A$12*(Models!$C$12-Models!$C$11)),IF($J6&lt;Models!$A$13,(Models!$C$12+(Advancement!$J6-Models!$A$12)/Models!$A$13*(Models!$C$13-Models!$C$12)),IF($J6&lt;Models!$A$14,(Models!$C$13+(Advancement!$J6-Models!$A$13)/Models!$A$14*(Models!$C$14-Models!$C$13)),IF($J6&lt;Models!$A$15,(Models!$C$14+(Advancement!$J6-Models!$A$14)/Models!$A$15*(Models!$C$15-Models!$C$14)),Models!$C$15)))))))))</f>
        <v>1.2429620000000001</v>
      </c>
      <c r="Z6" s="121">
        <f>IF($K6&lt;Models!$A$7,Models!$C$7,IF($K6&lt;Models!$A$8,(Models!$C$7+(Advancement!$K6-Models!$A$7)/Models!$A$8*(Models!$C$8-Models!$C$7)),IF($K6&lt;Models!$A$9,(Models!$C$8+(Advancement!$K6-Models!$A$8)/Models!$A$9*(Models!$C$9-Models!$C$8)),IF($K6&lt;Models!$A$10,(Models!$C$9+(Advancement!$K6-Models!$A$9)/Models!$A$10*(Models!$C$10-Models!$C$9)),IF($K6&lt;Models!$A$11,(Models!$C$10+(Advancement!$K6-Models!$A$10)/Models!$A$11*(Models!$C$11-Models!$C$10)),IF($K6&lt;Models!$A$12,(Models!$C$11+(Advancement!$K6-Models!$A$11)/Models!$A$12*(Models!$C$12-Models!$C$11)),IF($K6&lt;Models!$A$13,(Models!$C$12+(Advancement!$K6-Models!$A$12)/Models!$A$13*(Models!$C$13-Models!$C$12)),IF($K6&lt;Models!$A$14,(Models!$C$13+(Advancement!$K6-Models!$A$13)/Models!$A$14*(Models!$C$14-Models!$C$13)),IF($K6&lt;Models!$A$15,(Models!$C$14+(Advancement!$K6-Models!$A$14)/Models!$A$15*(Models!$C$15-Models!$C$14)),Models!$C$15)))))))))</f>
        <v>1.1971263750000001</v>
      </c>
      <c r="AA6" s="124">
        <f>IF($L6&lt;Models!$A$7,Models!$C$7,IF($L6&lt;Models!$A$8,(Models!$C$7+(Advancement!$L6-Models!$A$7)/Models!$A$8*(Models!$C$8-Models!$C$7)),IF($L6&lt;Models!$A$9,(Models!$C$8+(Advancement!$L6-Models!$A$8)/Models!$A$9*(Models!$C$9-Models!$C$8)),IF($L6&lt;Models!$A$10,(Models!$C$9+(Advancement!$L6-Models!$A$9)/Models!$A$10*(Models!$C$10-Models!$C$9)),IF($L6&lt;Models!$A$11,(Models!$C$10+(Advancement!$L6-Models!$A$10)/Models!$A$11*(Models!$C$11-Models!$C$10)),IF($L6&lt;Models!$A$12,(Models!$C$11+(Advancement!$L6-Models!$A$11)/Models!$A$12*(Models!$C$12-Models!$C$11)),IF($L6&lt;Models!$A$13,(Models!$C$12+(Advancement!$L6-Models!$A$12)/Models!$A$13*(Models!$C$13-Models!$C$12)),IF($L6&lt;Models!$A$14,(Models!$C$13+(Advancement!$L6-Models!$A$13)/Models!$A$14*(Models!$C$14-Models!$C$13)),IF($L6&lt;Models!$A$15,(Models!$C$14+(Advancement!$L6-Models!$A$14)/Models!$A$15*(Models!$C$15-Models!$C$14)),Models!$C$15)))))))))</f>
        <v>1.1513808888888888</v>
      </c>
      <c r="AB6" s="120">
        <f>IF($J6&lt;Models!$A$7,Models!$D$7,IF($J6&lt;Models!$A$8,(Models!$D$7+(Advancement!$J6-Models!$A$7)/Models!$A$8*(Models!$D$8-Models!$D$7)),IF($J6&lt;Models!$A$9,(Models!$D$8+(Advancement!$J6-Models!$A$8)/Models!$A$9*(Models!$D$9-Models!$D$8)),IF($J6&lt;Models!$A$10,(Models!$D$9+(Advancement!$J6-Models!$A$9)/Models!$A$10*(Models!$D$10-Models!$D$9)),IF($J6&lt;Models!$A$11,(Models!$D$10+(Advancement!$J6-Models!$A$10)/Models!$A$11*(Models!$D$11-Models!$D$10)),IF($J6&lt;Models!$A$12,(Models!$D$11+(Advancement!$J6-Models!$A$11)/Models!$A$12*(Models!$D$12-Models!$D$11)),IF($J6&lt;Models!$A$13,(Models!$D$12+(Advancement!$J6-Models!$A$12)/Models!$A$13*(Models!$D$13-Models!$D$12)),IF($J6&lt;Models!$A$14,(Models!$D$13+(Advancement!$J6-Models!$A$13)/Models!$A$14*(Models!$D$14-Models!$D$13)),IF($J6&lt;Models!$A$15,(Models!$D$14+(Advancement!$J6-Models!$A$14)/Models!$A$15*(Models!$D$15-Models!$D$14)),Models!$D$15)))))))))</f>
        <v>2.2971428571428572</v>
      </c>
      <c r="AC6" s="121">
        <f>IF($K6&lt;Models!$A$7,Models!$D$7,IF($K6&lt;Models!$A$8,(Models!$D$7+(Advancement!$K6-Models!$A$7)/Models!$A$8*(Models!$D$8-Models!$D$7)),IF($K6&lt;Models!$A$9,(Models!$D$8+(Advancement!$K6-Models!$A$8)/Models!$A$9*(Models!$D$9-Models!$D$8)),IF($K6&lt;Models!$A$10,(Models!$D$9+(Advancement!$K6-Models!$A$9)/Models!$A$10*(Models!$D$10-Models!$D$9)),IF($K6&lt;Models!$A$11,(Models!$D$10+(Advancement!$K6-Models!$A$10)/Models!$A$11*(Models!$D$11-Models!$D$10)),IF($K6&lt;Models!$A$12,(Models!$D$11+(Advancement!$K6-Models!$A$11)/Models!$A$12*(Models!$D$12-Models!$D$11)),IF($K6&lt;Models!$A$13,(Models!$D$12+(Advancement!$K6-Models!$A$12)/Models!$A$13*(Models!$D$13-Models!$D$12)),IF($K6&lt;Models!$A$14,(Models!$D$13+(Advancement!$K6-Models!$A$13)/Models!$A$14*(Models!$D$14-Models!$D$13)),IF($K6&lt;Models!$A$15,(Models!$D$14+(Advancement!$K6-Models!$A$14)/Models!$A$15*(Models!$D$15-Models!$D$14)),Models!$D$15)))))))))</f>
        <v>2.1850000000000001</v>
      </c>
      <c r="AD6" s="124">
        <f>IF($L6&lt;Models!$A$7,Models!$D$7,IF($L6&lt;Models!$A$8,(Models!$D$7+(Advancement!$L6-Models!$A$7)/Models!$A$8*(Models!$D$8-Models!$D$7)),IF($L6&lt;Models!$A$9,(Models!$D$8+(Advancement!$L6-Models!$A$8)/Models!$A$9*(Models!$D$9-Models!$D$8)),IF($L6&lt;Models!$A$10,(Models!$D$9+(Advancement!$L6-Models!$A$9)/Models!$A$10*(Models!$D$10-Models!$D$9)),IF($L6&lt;Models!$A$11,(Models!$D$10+(Advancement!$L6-Models!$A$10)/Models!$A$11*(Models!$D$11-Models!$D$10)),IF($L6&lt;Models!$A$12,(Models!$D$11+(Advancement!$L6-Models!$A$11)/Models!$A$12*(Models!$D$12-Models!$D$11)),IF($L6&lt;Models!$A$13,(Models!$D$12+(Advancement!$L6-Models!$A$12)/Models!$A$13*(Models!$D$13-Models!$D$12)),IF($L6&lt;Models!$A$14,(Models!$D$13+(Advancement!$L6-Models!$A$13)/Models!$A$14*(Models!$D$14-Models!$D$13)),IF($L6&lt;Models!$A$15,(Models!$D$14+(Advancement!$L6-Models!$A$14)/Models!$A$15*(Models!$D$15-Models!$D$14)),Models!$D$15)))))))))</f>
        <v>1.7822222222222222</v>
      </c>
      <c r="AE6" s="120">
        <f t="shared" ref="AE6:AG7" si="1">AVERAGE(P6,S6,V6,Y6,AB6)</f>
        <v>1.7361873072236835</v>
      </c>
      <c r="AF6" s="121">
        <f t="shared" si="1"/>
        <v>1.533855593583263</v>
      </c>
      <c r="AG6" s="122">
        <f t="shared" si="1"/>
        <v>1.3905650201318174</v>
      </c>
      <c r="AH6" s="120">
        <f>$D6/AE6/24/(340/12)</f>
        <v>1.0206610865984789</v>
      </c>
      <c r="AI6" s="120">
        <f>$D6/AF6/24/(340/12)</f>
        <v>1.1552970377020164</v>
      </c>
      <c r="AJ6" s="120">
        <f>$D6/AG6/24/(340/12)</f>
        <v>1.2743444555806756</v>
      </c>
    </row>
    <row r="7" spans="1:36" ht="12" thickBot="1" x14ac:dyDescent="0.3">
      <c r="A7" s="125">
        <v>27</v>
      </c>
      <c r="B7" s="126">
        <f>C6</f>
        <v>50323</v>
      </c>
      <c r="C7" s="126">
        <v>50395</v>
      </c>
      <c r="D7" s="127">
        <f t="shared" si="0"/>
        <v>72</v>
      </c>
      <c r="E7" s="128" t="s">
        <v>14</v>
      </c>
      <c r="F7" s="129">
        <v>0</v>
      </c>
      <c r="G7" s="130">
        <v>0.2</v>
      </c>
      <c r="H7" s="130">
        <v>0.55000000000000004</v>
      </c>
      <c r="I7" s="131">
        <v>0.25</v>
      </c>
      <c r="J7" s="132">
        <f>K7-Inputs!C8</f>
        <v>38</v>
      </c>
      <c r="K7" s="133">
        <f>Inputs!B8</f>
        <v>52</v>
      </c>
      <c r="L7" s="134">
        <f>K7+Inputs!C8</f>
        <v>66</v>
      </c>
      <c r="M7" s="132">
        <f>N7-Inputs!E8</f>
        <v>71</v>
      </c>
      <c r="N7" s="133">
        <f>Inputs!D8</f>
        <v>89</v>
      </c>
      <c r="O7" s="135">
        <f>N7+Inputs!E8</f>
        <v>107</v>
      </c>
      <c r="P7" s="136">
        <f>IF($J7&lt;Models!$A$7,Models!$B$7,IF($J7&lt;Models!$A$8,(Models!$B$7+(Advancement!$J7-Models!$A$7)/Models!$A$8*(Models!$B$8-Models!$B$7)),IF($J7&lt;Models!$A$9,(Models!$B$8+(Advancement!$J7-Models!$A$8)/Models!$A$9*(Models!$B$9-Models!$B$8)),IF($J7&lt;Models!$A$10,(Models!$B$9+(Advancement!$J7-Models!$A$9)/Models!$A$10*(Models!$B$10-Models!$B$9)),IF($J7&lt;Models!$A$11,(Models!$B$10+(Advancement!$J7-Models!$A$10)/Models!$A$11*(Models!$B$11-Models!$B$10)),IF($J7&lt;Models!$A$12,(Models!$B$11+(Advancement!$J7-Models!$A$11)/Models!$A$12*(Models!$B$12-Models!$B$11)),IF($J7&lt;Models!$A$13,(Models!$B$12+(Advancement!$J7-Models!$A$12)/Models!$A$13*(Models!$B$13-Models!$B$12)),IF($J7&lt;Models!$A$14,(Models!$B$13+(Advancement!$J7-Models!$A$13)/Models!$A$14*(Models!$B$14-Models!$B$13)),IF($J7&lt;Models!$A$15,(Models!$B$14+(Advancement!$J7-Models!$A$14)/Models!$A$15*(Models!$B$15-Models!$B$14)),Models!$B$15)))))))))</f>
        <v>2.1800000000000002</v>
      </c>
      <c r="Q7" s="137">
        <f>IF($K7&lt;Models!$A$7,Models!$B$7,IF($K7&lt;Models!$A$8,(Models!$B$7+(Advancement!$K7-Models!$A$7)/Models!$A$8*(Models!$B$8-Models!$B$7)),IF($K7&lt;Models!$A$9,(Models!$B$8+(Advancement!$K7-Models!$A$8)/Models!$A$9*(Models!$B$9-Models!$B$8)),IF($K7&lt;Models!$A$10,(Models!$B$9+(Advancement!$K7-Models!$A$9)/Models!$A$10*(Models!$B$10-Models!$B$9)),IF($K7&lt;Models!$A$11,(Models!$B$10+(Advancement!$K7-Models!$A$10)/Models!$A$11*(Models!$B$11-Models!$B$10)),IF($K7&lt;Models!$A$12,(Models!$B$11+(Advancement!$K7-Models!$A$11)/Models!$A$12*(Models!$B$12-Models!$B$11)),IF($K7&lt;Models!$A$13,(Models!$B$12+(Advancement!$K7-Models!$A$12)/Models!$A$13*(Models!$B$13-Models!$B$12)),IF($K7&lt;Models!$A$14,(Models!$B$13+(Advancement!$K7-Models!$A$13)/Models!$A$14*(Models!$B$14-Models!$B$13)),IF($K7&lt;Models!$A$15,(Models!$B$14+(Advancement!$K7-Models!$A$14)/Models!$A$15*(Models!$B$15-Models!$B$14)),Models!$B$15)))))))))</f>
        <v>1.9933333333333334</v>
      </c>
      <c r="R7" s="138">
        <f>IF($L7&lt;Models!$A$7,Models!$B$7,IF($L7&lt;Models!$A$8,(Models!$B$7+(Advancement!$L7-Models!$A$7)/Models!$A$8*(Models!$B$8-Models!$B$7)),IF($L7&lt;Models!$A$9,(Models!$B$8+(Advancement!$L7-Models!$A$8)/Models!$A$9*(Models!$B$9-Models!$B$8)),IF($L7&lt;Models!$A$10,(Models!$B$9+(Advancement!$L7-Models!$A$9)/Models!$A$10*(Models!$B$10-Models!$B$9)),IF($L7&lt;Models!$A$11,(Models!$B$10+(Advancement!$L7-Models!$A$10)/Models!$A$11*(Models!$B$11-Models!$B$10)),IF($L7&lt;Models!$A$12,(Models!$B$11+(Advancement!$L7-Models!$A$11)/Models!$A$12*(Models!$B$12-Models!$B$11)),IF($L7&lt;Models!$A$13,(Models!$B$12+(Advancement!$L7-Models!$A$12)/Models!$A$13*(Models!$B$13-Models!$B$12)),IF($L7&lt;Models!$A$14,(Models!$B$13+(Advancement!$L7-Models!$A$13)/Models!$A$14*(Models!$B$14-Models!$B$13)),IF($L7&lt;Models!$A$15,(Models!$B$14+(Advancement!$L7-Models!$A$14)/Models!$A$15*(Models!$B$15-Models!$B$14)),Models!$B$15)))))))))</f>
        <v>1.7828571428571429</v>
      </c>
      <c r="S7" s="139">
        <f>-0.0059*(0.77*J7+12.4)+1.59</f>
        <v>1.344206</v>
      </c>
      <c r="T7" s="137">
        <f>-0.0059*(0.77*K7+12.4)+1.59</f>
        <v>1.2806040000000001</v>
      </c>
      <c r="U7" s="140">
        <f>-0.0059*(0.77*L7+12.4)+1.59</f>
        <v>1.2170020000000001</v>
      </c>
      <c r="V7" s="136">
        <f>(40.41*M7^(-0.437)-0.047*(0.77*J7+12.4)+3.15)*Inputs!$I$6/1000*60</f>
        <v>2.2395532124849598</v>
      </c>
      <c r="W7" s="137">
        <f>(40.41*N7^(-0.437)-0.047*(0.77*K7+12.4)+3.15)*Inputs!$I$6/1000*60</f>
        <v>1.9106049861511967</v>
      </c>
      <c r="X7" s="140">
        <f>(40.41*O7^(-0.437)-0.047*(0.77*L7+12.4)+3.15)*Inputs!$I$6/1000*60</f>
        <v>1.6267453183928344</v>
      </c>
      <c r="Y7" s="136">
        <f>IF($J7&lt;Models!$A$7,Models!$C$7,IF($J7&lt;Models!$A$8,(Models!$C$7+(Advancement!$J7-Models!$A$7)/Models!$A$8*(Models!$C$8-Models!$C$7)),IF($J7&lt;Models!$A$9,(Models!$C$8+(Advancement!$J7-Models!$A$8)/Models!$A$9*(Models!$C$9-Models!$C$8)),IF($J7&lt;Models!$A$10,(Models!$C$9+(Advancement!$J7-Models!$A$9)/Models!$A$10*(Models!$C$10-Models!$C$9)),IF($J7&lt;Models!$A$11,(Models!$C$10+(Advancement!$J7-Models!$A$10)/Models!$A$11*(Models!$C$11-Models!$C$10)),IF($J7&lt;Models!$A$12,(Models!$C$11+(Advancement!$J7-Models!$A$11)/Models!$A$12*(Models!$C$12-Models!$C$11)),IF($J7&lt;Models!$A$13,(Models!$C$12+(Advancement!$J7-Models!$A$12)/Models!$A$13*(Models!$C$13-Models!$C$12)),IF($J7&lt;Models!$A$14,(Models!$C$13+(Advancement!$J7-Models!$A$13)/Models!$A$14*(Models!$C$14-Models!$C$13)),IF($J7&lt;Models!$A$15,(Models!$C$14+(Advancement!$J7-Models!$A$14)/Models!$A$15*(Models!$C$15-Models!$C$14)),Models!$C$15)))))))))</f>
        <v>1.3714640000000002</v>
      </c>
      <c r="Z7" s="137">
        <f>IF($K7&lt;Models!$A$7,Models!$C$7,IF($K7&lt;Models!$A$8,(Models!$C$7+(Advancement!$K7-Models!$A$7)/Models!$A$8*(Models!$C$8-Models!$C$7)),IF($K7&lt;Models!$A$9,(Models!$C$8+(Advancement!$K7-Models!$A$8)/Models!$A$9*(Models!$C$9-Models!$C$8)),IF($K7&lt;Models!$A$10,(Models!$C$9+(Advancement!$K7-Models!$A$9)/Models!$A$10*(Models!$C$10-Models!$C$9)),IF($K7&lt;Models!$A$11,(Models!$C$10+(Advancement!$K7-Models!$A$10)/Models!$A$11*(Models!$C$11-Models!$C$10)),IF($K7&lt;Models!$A$12,(Models!$C$11+(Advancement!$K7-Models!$A$11)/Models!$A$12*(Models!$C$12-Models!$C$11)),IF($K7&lt;Models!$A$13,(Models!$C$12+(Advancement!$K7-Models!$A$12)/Models!$A$13*(Models!$C$13-Models!$C$12)),IF($K7&lt;Models!$A$14,(Models!$C$13+(Advancement!$K7-Models!$A$13)/Models!$A$14*(Models!$C$14-Models!$C$13)),IF($K7&lt;Models!$A$15,(Models!$C$14+(Advancement!$K7-Models!$A$14)/Models!$A$15*(Models!$C$15-Models!$C$14)),Models!$C$15)))))))))</f>
        <v>1.2881756666666668</v>
      </c>
      <c r="AA7" s="140">
        <f>IF($L7&lt;Models!$A$7,Models!$C$7,IF($L7&lt;Models!$A$8,(Models!$C$7+(Advancement!$L7-Models!$A$7)/Models!$A$8*(Models!$C$8-Models!$C$7)),IF($L7&lt;Models!$A$9,(Models!$C$8+(Advancement!$L7-Models!$A$8)/Models!$A$9*(Models!$C$9-Models!$C$8)),IF($L7&lt;Models!$A$10,(Models!$C$9+(Advancement!$L7-Models!$A$9)/Models!$A$10*(Models!$C$10-Models!$C$9)),IF($L7&lt;Models!$A$11,(Models!$C$10+(Advancement!$L7-Models!$A$10)/Models!$A$11*(Models!$C$11-Models!$C$10)),IF($L7&lt;Models!$A$12,(Models!$C$11+(Advancement!$L7-Models!$A$11)/Models!$A$12*(Models!$C$12-Models!$C$11)),IF($L7&lt;Models!$A$13,(Models!$C$12+(Advancement!$L7-Models!$A$12)/Models!$A$13*(Models!$C$13-Models!$C$12)),IF($L7&lt;Models!$A$14,(Models!$C$13+(Advancement!$L7-Models!$A$13)/Models!$A$14*(Models!$C$14-Models!$C$13)),IF($L7&lt;Models!$A$15,(Models!$C$14+(Advancement!$L7-Models!$A$14)/Models!$A$15*(Models!$C$15-Models!$C$14)),Models!$C$15)))))))))</f>
        <v>1.2403660000000001</v>
      </c>
      <c r="AB7" s="136">
        <f>IF($J7&lt;Models!$A$7,Models!$D$7,IF($J7&lt;Models!$A$8,(Models!$D$7+(Advancement!$J7-Models!$A$7)/Models!$A$8*(Models!$D$8-Models!$D$7)),IF($J7&lt;Models!$A$9,(Models!$D$8+(Advancement!$J7-Models!$A$8)/Models!$A$9*(Models!$D$9-Models!$D$8)),IF($J7&lt;Models!$A$10,(Models!$D$9+(Advancement!$J7-Models!$A$9)/Models!$A$10*(Models!$D$10-Models!$D$9)),IF($J7&lt;Models!$A$11,(Models!$D$10+(Advancement!$J7-Models!$A$10)/Models!$A$11*(Models!$D$11-Models!$D$10)),IF($J7&lt;Models!$A$12,(Models!$D$11+(Advancement!$J7-Models!$A$11)/Models!$A$12*(Models!$D$12-Models!$D$11)),IF($J7&lt;Models!$A$13,(Models!$D$12+(Advancement!$J7-Models!$A$12)/Models!$A$13*(Models!$D$13-Models!$D$12)),IF($J7&lt;Models!$A$14,(Models!$D$13+(Advancement!$J7-Models!$A$13)/Models!$A$14*(Models!$D$14-Models!$D$13)),IF($J7&lt;Models!$A$15,(Models!$D$14+(Advancement!$J7-Models!$A$14)/Models!$A$15*(Models!$D$15-Models!$D$14)),Models!$D$15)))))))))</f>
        <v>1.86</v>
      </c>
      <c r="AC7" s="137">
        <f>IF($K7&lt;Models!$A$7,Models!$D$7,IF($K7&lt;Models!$A$8,(Models!$D$7+(Advancement!$K7-Models!$A$7)/Models!$A$8*(Models!$D$8-Models!$D$7)),IF($K7&lt;Models!$A$9,(Models!$D$8+(Advancement!$K7-Models!$A$8)/Models!$A$9*(Models!$D$9-Models!$D$8)),IF($K7&lt;Models!$A$10,(Models!$D$9+(Advancement!$K7-Models!$A$9)/Models!$A$10*(Models!$D$10-Models!$D$9)),IF($K7&lt;Models!$A$11,(Models!$D$10+(Advancement!$K7-Models!$A$10)/Models!$A$11*(Models!$D$11-Models!$D$10)),IF($K7&lt;Models!$A$12,(Models!$D$11+(Advancement!$K7-Models!$A$11)/Models!$A$12*(Models!$D$12-Models!$D$11)),IF($K7&lt;Models!$A$13,(Models!$D$12+(Advancement!$K7-Models!$A$12)/Models!$A$13*(Models!$D$13-Models!$D$12)),IF($K7&lt;Models!$A$14,(Models!$D$13+(Advancement!$K7-Models!$A$13)/Models!$A$14*(Models!$D$14-Models!$D$13)),IF($K7&lt;Models!$A$15,(Models!$D$14+(Advancement!$K7-Models!$A$14)/Models!$A$15*(Models!$D$15-Models!$D$14)),Models!$D$15)))))))))</f>
        <v>2.2999999999999998</v>
      </c>
      <c r="AD7" s="140">
        <f>IF($L7&lt;Models!$A$7,Models!$D$7,IF($L7&lt;Models!$A$8,(Models!$D$7+(Advancement!$L7-Models!$A$7)/Models!$A$8*(Models!$D$8-Models!$D$7)),IF($L7&lt;Models!$A$9,(Models!$D$8+(Advancement!$L7-Models!$A$8)/Models!$A$9*(Models!$D$9-Models!$D$8)),IF($L7&lt;Models!$A$10,(Models!$D$9+(Advancement!$L7-Models!$A$9)/Models!$A$10*(Models!$D$10-Models!$D$9)),IF($L7&lt;Models!$A$11,(Models!$D$10+(Advancement!$L7-Models!$A$10)/Models!$A$11*(Models!$D$11-Models!$D$10)),IF($L7&lt;Models!$A$12,(Models!$D$11+(Advancement!$L7-Models!$A$11)/Models!$A$12*(Models!$D$12-Models!$D$11)),IF($L7&lt;Models!$A$13,(Models!$D$12+(Advancement!$L7-Models!$A$12)/Models!$A$13*(Models!$D$13-Models!$D$12)),IF($L7&lt;Models!$A$14,(Models!$D$13+(Advancement!$L7-Models!$A$13)/Models!$A$14*(Models!$D$14-Models!$D$13)),IF($L7&lt;Models!$A$15,(Models!$D$14+(Advancement!$L7-Models!$A$14)/Models!$A$15*(Models!$D$15-Models!$D$14)),Models!$D$15)))))))))</f>
        <v>2.2914285714285714</v>
      </c>
      <c r="AE7" s="136">
        <f t="shared" si="1"/>
        <v>1.7990446424969921</v>
      </c>
      <c r="AF7" s="137">
        <f t="shared" si="1"/>
        <v>1.7545435972302392</v>
      </c>
      <c r="AG7" s="138">
        <f t="shared" si="1"/>
        <v>1.6316798065357099</v>
      </c>
      <c r="AH7" s="120">
        <f t="shared" ref="AH7:AH19" si="2">$D7/AE7/24/(340/12)</f>
        <v>5.885476682458339E-2</v>
      </c>
      <c r="AI7" s="120">
        <f t="shared" ref="AI7:AI19" si="3">$D7/AF7/24/(340/12)</f>
        <v>6.0347518926474483E-2</v>
      </c>
      <c r="AJ7" s="120">
        <f t="shared" ref="AJ7:AJ19" si="4">$D7/AG7/24/(340/12)</f>
        <v>6.4891624273992754E-2</v>
      </c>
    </row>
    <row r="8" spans="1:36" ht="12" thickBot="1" x14ac:dyDescent="0.3">
      <c r="A8" s="125">
        <v>28</v>
      </c>
      <c r="B8" s="126">
        <f>C7</f>
        <v>50395</v>
      </c>
      <c r="C8" s="126">
        <f>51500-5.5</f>
        <v>51494.5</v>
      </c>
      <c r="D8" s="127">
        <f t="shared" si="0"/>
        <v>1099.5</v>
      </c>
      <c r="E8" s="128" t="s">
        <v>15</v>
      </c>
      <c r="F8" s="129">
        <v>0</v>
      </c>
      <c r="G8" s="130">
        <v>0</v>
      </c>
      <c r="H8" s="130">
        <v>0.25</v>
      </c>
      <c r="I8" s="131">
        <v>0.75</v>
      </c>
      <c r="J8" s="132">
        <f>K8-Inputs!C9</f>
        <v>59</v>
      </c>
      <c r="K8" s="133">
        <f>Inputs!B9</f>
        <v>72</v>
      </c>
      <c r="L8" s="134">
        <f>K8+Inputs!C9</f>
        <v>85</v>
      </c>
      <c r="M8" s="132">
        <f>N8-Inputs!E9</f>
        <v>104</v>
      </c>
      <c r="N8" s="133">
        <f>Inputs!D9</f>
        <v>131</v>
      </c>
      <c r="O8" s="135">
        <f>N8+Inputs!E9</f>
        <v>158</v>
      </c>
      <c r="P8" s="136">
        <f>IF($J8&lt;Models!$A$7,Models!$B$7,IF($J8&lt;Models!$A$8,(Models!$B$7+(Advancement!$J8-Models!$A$7)/Models!$A$8*(Models!$B$8-Models!$B$7)),IF($J8&lt;Models!$A$9,(Models!$B$8+(Advancement!$J8-Models!$A$8)/Models!$A$9*(Models!$B$9-Models!$B$8)),IF($J8&lt;Models!$A$10,(Models!$B$9+(Advancement!$J8-Models!$A$9)/Models!$A$10*(Models!$B$10-Models!$B$9)),IF($J8&lt;Models!$A$11,(Models!$B$10+(Advancement!$J8-Models!$A$10)/Models!$A$11*(Models!$B$11-Models!$B$10)),IF($J8&lt;Models!$A$12,(Models!$B$11+(Advancement!$J8-Models!$A$11)/Models!$A$12*(Models!$B$12-Models!$B$11)),IF($J8&lt;Models!$A$13,(Models!$B$12+(Advancement!$J8-Models!$A$12)/Models!$A$13*(Models!$B$13-Models!$B$12)),IF($J8&lt;Models!$A$14,(Models!$B$13+(Advancement!$J8-Models!$A$13)/Models!$A$14*(Models!$B$14-Models!$B$13)),IF($J8&lt;Models!$A$15,(Models!$B$14+(Advancement!$J8-Models!$A$14)/Models!$A$15*(Models!$B$15-Models!$B$14)),Models!$B$15)))))))))</f>
        <v>1.97</v>
      </c>
      <c r="Q8" s="137">
        <f>IF($K8&lt;Models!$A$7,Models!$B$7,IF($K8&lt;Models!$A$8,(Models!$B$7+(Advancement!$K8-Models!$A$7)/Models!$A$8*(Models!$B$8-Models!$B$7)),IF($K8&lt;Models!$A$9,(Models!$B$8+(Advancement!$K8-Models!$A$8)/Models!$A$9*(Models!$B$9-Models!$B$8)),IF($K8&lt;Models!$A$10,(Models!$B$9+(Advancement!$K8-Models!$A$9)/Models!$A$10*(Models!$B$10-Models!$B$9)),IF($K8&lt;Models!$A$11,(Models!$B$10+(Advancement!$K8-Models!$A$10)/Models!$A$11*(Models!$B$11-Models!$B$10)),IF($K8&lt;Models!$A$12,(Models!$B$11+(Advancement!$K8-Models!$A$11)/Models!$A$12*(Models!$B$12-Models!$B$11)),IF($K8&lt;Models!$A$13,(Models!$B$12+(Advancement!$K8-Models!$A$12)/Models!$A$13*(Models!$B$13-Models!$B$12)),IF($K8&lt;Models!$A$14,(Models!$B$13+(Advancement!$K8-Models!$A$13)/Models!$A$14*(Models!$B$14-Models!$B$13)),IF($K8&lt;Models!$A$15,(Models!$B$14+(Advancement!$K8-Models!$A$14)/Models!$A$15*(Models!$B$15-Models!$B$14)),Models!$B$15)))))))))</f>
        <v>1.6</v>
      </c>
      <c r="R8" s="138">
        <f>IF($L8&lt;Models!$A$7,Models!$B$7,IF($L8&lt;Models!$A$8,(Models!$B$7+(Advancement!$L8-Models!$A$7)/Models!$A$8*(Models!$B$8-Models!$B$7)),IF($L8&lt;Models!$A$9,(Models!$B$8+(Advancement!$L8-Models!$A$8)/Models!$A$9*(Models!$B$9-Models!$B$8)),IF($L8&lt;Models!$A$10,(Models!$B$9+(Advancement!$L8-Models!$A$9)/Models!$A$10*(Models!$B$10-Models!$B$9)),IF($L8&lt;Models!$A$11,(Models!$B$10+(Advancement!$L8-Models!$A$10)/Models!$A$11*(Models!$B$11-Models!$B$10)),IF($L8&lt;Models!$A$12,(Models!$B$11+(Advancement!$L8-Models!$A$11)/Models!$A$12*(Models!$B$12-Models!$B$11)),IF($L8&lt;Models!$A$13,(Models!$B$12+(Advancement!$L8-Models!$A$12)/Models!$A$13*(Models!$B$13-Models!$B$12)),IF($L8&lt;Models!$A$14,(Models!$B$13+(Advancement!$L8-Models!$A$13)/Models!$A$14*(Models!$B$14-Models!$B$13)),IF($L8&lt;Models!$A$15,(Models!$B$14+(Advancement!$L8-Models!$A$14)/Models!$A$15*(Models!$B$15-Models!$B$14)),Models!$B$15)))))))))</f>
        <v>1.6</v>
      </c>
      <c r="S8" s="139">
        <f t="shared" ref="S8:S19" si="5">-0.0059*(0.77*J8+12.4)+1.59</f>
        <v>1.2488030000000001</v>
      </c>
      <c r="T8" s="137">
        <f t="shared" ref="T8:T19" si="6">-0.0059*(0.77*K8+12.4)+1.59</f>
        <v>1.1897440000000001</v>
      </c>
      <c r="U8" s="140">
        <f t="shared" ref="U8:U19" si="7">-0.0059*(0.77*L8+12.4)+1.59</f>
        <v>1.1306850000000002</v>
      </c>
      <c r="V8" s="136">
        <f>(40.41*M8^(-0.437)-0.047*(0.77*J8+12.4)+3.15)*Inputs!$I$6/1000*60</f>
        <v>1.722416397350901</v>
      </c>
      <c r="W8" s="137">
        <f>(40.41*N8^(-0.437)-0.047*(0.77*K8+12.4)+3.15)*Inputs!$I$6/1000*60</f>
        <v>1.4284561885502056</v>
      </c>
      <c r="X8" s="140">
        <f>(40.41*O8^(-0.437)-0.047*(0.77*L8+12.4)+3.15)*Inputs!$I$6/1000*60</f>
        <v>1.1740890178496297</v>
      </c>
      <c r="Y8" s="136">
        <f>IF($J8&lt;Models!$A$7,Models!$C$7,IF($J8&lt;Models!$A$8,(Models!$C$7+(Advancement!$J8-Models!$A$7)/Models!$A$8*(Models!$C$8-Models!$C$7)),IF($J8&lt;Models!$A$9,(Models!$C$8+(Advancement!$J8-Models!$A$8)/Models!$A$9*(Models!$C$9-Models!$C$8)),IF($J8&lt;Models!$A$10,(Models!$C$9+(Advancement!$J8-Models!$A$9)/Models!$A$10*(Models!$C$10-Models!$C$9)),IF($J8&lt;Models!$A$11,(Models!$C$10+(Advancement!$J8-Models!$A$10)/Models!$A$11*(Models!$C$11-Models!$C$10)),IF($J8&lt;Models!$A$12,(Models!$C$11+(Advancement!$J8-Models!$A$11)/Models!$A$12*(Models!$C$12-Models!$C$11)),IF($J8&lt;Models!$A$13,(Models!$C$12+(Advancement!$J8-Models!$A$12)/Models!$A$13*(Models!$C$13-Models!$C$12)),IF($J8&lt;Models!$A$14,(Models!$C$13+(Advancement!$J8-Models!$A$13)/Models!$A$14*(Models!$C$14-Models!$C$13)),IF($J8&lt;Models!$A$15,(Models!$C$14+(Advancement!$J8-Models!$A$14)/Models!$A$15*(Models!$C$15-Models!$C$14)),Models!$C$15)))))))))</f>
        <v>1.2828755000000003</v>
      </c>
      <c r="Z8" s="137">
        <f>IF($K8&lt;Models!$A$7,Models!$C$7,IF($K8&lt;Models!$A$8,(Models!$C$7+(Advancement!$K8-Models!$A$7)/Models!$A$8*(Models!$C$8-Models!$C$7)),IF($K8&lt;Models!$A$9,(Models!$C$8+(Advancement!$K8-Models!$A$8)/Models!$A$9*(Models!$C$9-Models!$C$8)),IF($K8&lt;Models!$A$10,(Models!$C$9+(Advancement!$K8-Models!$A$9)/Models!$A$10*(Models!$C$10-Models!$C$9)),IF($K8&lt;Models!$A$11,(Models!$C$10+(Advancement!$K8-Models!$A$10)/Models!$A$11*(Models!$C$11-Models!$C$10)),IF($K8&lt;Models!$A$12,(Models!$C$11+(Advancement!$K8-Models!$A$11)/Models!$A$12*(Models!$C$12-Models!$C$11)),IF($K8&lt;Models!$A$13,(Models!$C$12+(Advancement!$K8-Models!$A$12)/Models!$A$13*(Models!$C$13-Models!$C$12)),IF($K8&lt;Models!$A$14,(Models!$C$13+(Advancement!$K8-Models!$A$13)/Models!$A$14*(Models!$C$14-Models!$C$13)),IF($K8&lt;Models!$A$15,(Models!$C$14+(Advancement!$K8-Models!$A$14)/Models!$A$15*(Models!$C$15-Models!$C$14)),Models!$C$15)))))))))</f>
        <v>1.1976942500000001</v>
      </c>
      <c r="AA8" s="140">
        <f>IF($L8&lt;Models!$A$7,Models!$C$7,IF($L8&lt;Models!$A$8,(Models!$C$7+(Advancement!$L8-Models!$A$7)/Models!$A$8*(Models!$C$8-Models!$C$7)),IF($L8&lt;Models!$A$9,(Models!$C$8+(Advancement!$L8-Models!$A$8)/Models!$A$9*(Models!$C$9-Models!$C$8)),IF($L8&lt;Models!$A$10,(Models!$C$9+(Advancement!$L8-Models!$A$9)/Models!$A$10*(Models!$C$10-Models!$C$9)),IF($L8&lt;Models!$A$11,(Models!$C$10+(Advancement!$L8-Models!$A$10)/Models!$A$11*(Models!$C$11-Models!$C$10)),IF($L8&lt;Models!$A$12,(Models!$C$11+(Advancement!$L8-Models!$A$11)/Models!$A$12*(Models!$C$12-Models!$C$11)),IF($L8&lt;Models!$A$13,(Models!$C$12+(Advancement!$L8-Models!$A$12)/Models!$A$13*(Models!$C$13-Models!$C$12)),IF($L8&lt;Models!$A$14,(Models!$C$13+(Advancement!$L8-Models!$A$13)/Models!$A$14*(Models!$C$14-Models!$C$13)),IF($L8&lt;Models!$A$15,(Models!$C$14+(Advancement!$L8-Models!$A$14)/Models!$A$15*(Models!$C$15-Models!$C$14)),Models!$C$15)))))))))</f>
        <v>1.1508761111111112</v>
      </c>
      <c r="AB8" s="136">
        <f>IF($J8&lt;Models!$A$7,Models!$D$7,IF($J8&lt;Models!$A$8,(Models!$D$7+(Advancement!$J8-Models!$A$7)/Models!$A$8*(Models!$D$8-Models!$D$7)),IF($J8&lt;Models!$A$9,(Models!$D$8+(Advancement!$J8-Models!$A$8)/Models!$A$9*(Models!$D$9-Models!$D$8)),IF($J8&lt;Models!$A$10,(Models!$D$9+(Advancement!$J8-Models!$A$9)/Models!$A$10*(Models!$D$10-Models!$D$9)),IF($J8&lt;Models!$A$11,(Models!$D$10+(Advancement!$J8-Models!$A$10)/Models!$A$11*(Models!$D$11-Models!$D$10)),IF($J8&lt;Models!$A$12,(Models!$D$11+(Advancement!$J8-Models!$A$11)/Models!$A$12*(Models!$D$12-Models!$D$11)),IF($J8&lt;Models!$A$13,(Models!$D$12+(Advancement!$J8-Models!$A$12)/Models!$A$13*(Models!$D$13-Models!$D$12)),IF($J8&lt;Models!$A$14,(Models!$D$13+(Advancement!$J8-Models!$A$13)/Models!$A$14*(Models!$D$14-Models!$D$13)),IF($J8&lt;Models!$A$15,(Models!$D$14+(Advancement!$J8-Models!$A$14)/Models!$A$15*(Models!$D$15-Models!$D$14)),Models!$D$15)))))))))</f>
        <v>2.2999999999999998</v>
      </c>
      <c r="AC8" s="137">
        <f>IF($K8&lt;Models!$A$7,Models!$D$7,IF($K8&lt;Models!$A$8,(Models!$D$7+(Advancement!$K8-Models!$A$7)/Models!$A$8*(Models!$D$8-Models!$D$7)),IF($K8&lt;Models!$A$9,(Models!$D$8+(Advancement!$K8-Models!$A$8)/Models!$A$9*(Models!$D$9-Models!$D$8)),IF($K8&lt;Models!$A$10,(Models!$D$9+(Advancement!$K8-Models!$A$9)/Models!$A$10*(Models!$D$10-Models!$D$9)),IF($K8&lt;Models!$A$11,(Models!$D$10+(Advancement!$K8-Models!$A$10)/Models!$A$11*(Models!$D$11-Models!$D$10)),IF($K8&lt;Models!$A$12,(Models!$D$11+(Advancement!$K8-Models!$A$11)/Models!$A$12*(Models!$D$12-Models!$D$11)),IF($K8&lt;Models!$A$13,(Models!$D$12+(Advancement!$K8-Models!$A$12)/Models!$A$13*(Models!$D$13-Models!$D$12)),IF($K8&lt;Models!$A$14,(Models!$D$13+(Advancement!$K8-Models!$A$13)/Models!$A$14*(Models!$D$14-Models!$D$13)),IF($K8&lt;Models!$A$15,(Models!$D$14+(Advancement!$K8-Models!$A$14)/Models!$A$15*(Models!$D$15-Models!$D$14)),Models!$D$15)))))))))</f>
        <v>2.1900000000000004</v>
      </c>
      <c r="AD8" s="140">
        <f>IF($L8&lt;Models!$A$7,Models!$D$7,IF($L8&lt;Models!$A$8,(Models!$D$7+(Advancement!$L8-Models!$A$7)/Models!$A$8*(Models!$D$8-Models!$D$7)),IF($L8&lt;Models!$A$9,(Models!$D$8+(Advancement!$L8-Models!$A$8)/Models!$A$9*(Models!$D$9-Models!$D$8)),IF($L8&lt;Models!$A$10,(Models!$D$9+(Advancement!$L8-Models!$A$9)/Models!$A$10*(Models!$D$10-Models!$D$9)),IF($L8&lt;Models!$A$11,(Models!$D$10+(Advancement!$L8-Models!$A$10)/Models!$A$11*(Models!$D$11-Models!$D$10)),IF($L8&lt;Models!$A$12,(Models!$D$11+(Advancement!$L8-Models!$A$11)/Models!$A$12*(Models!$D$12-Models!$D$11)),IF($L8&lt;Models!$A$13,(Models!$D$12+(Advancement!$L8-Models!$A$12)/Models!$A$13*(Models!$D$13-Models!$D$12)),IF($L8&lt;Models!$A$14,(Models!$D$13+(Advancement!$L8-Models!$A$13)/Models!$A$14*(Models!$D$14-Models!$D$13)),IF($L8&lt;Models!$A$15,(Models!$D$14+(Advancement!$L8-Models!$A$14)/Models!$A$15*(Models!$D$15-Models!$D$14)),Models!$D$15)))))))))</f>
        <v>1.7777777777777779</v>
      </c>
      <c r="AE8" s="136">
        <f t="shared" ref="AE8:AE19" si="8">AVERAGE(P8,S8,V8,Y8,AB8)</f>
        <v>1.7048189794701802</v>
      </c>
      <c r="AF8" s="137">
        <f t="shared" ref="AF8:AF19" si="9">AVERAGE(Q8,T8,W8,Z8,AC8)</f>
        <v>1.5211788877100412</v>
      </c>
      <c r="AG8" s="138">
        <f t="shared" ref="AG8:AG19" si="10">AVERAGE(R8,U8,X8,AA8,AD8)</f>
        <v>1.3666855813477037</v>
      </c>
      <c r="AH8" s="120">
        <f t="shared" si="2"/>
        <v>0.94843604170126183</v>
      </c>
      <c r="AI8" s="120">
        <f t="shared" si="3"/>
        <v>1.0629333458209875</v>
      </c>
      <c r="AJ8" s="120">
        <f t="shared" si="4"/>
        <v>1.18308979532178</v>
      </c>
    </row>
    <row r="9" spans="1:36" ht="12" thickBot="1" x14ac:dyDescent="0.3">
      <c r="A9" s="125" t="s">
        <v>69</v>
      </c>
      <c r="B9" s="126">
        <f>C8</f>
        <v>51494.5</v>
      </c>
      <c r="C9" s="126">
        <f>C8+11</f>
        <v>51505.5</v>
      </c>
      <c r="D9" s="127">
        <f t="shared" si="0"/>
        <v>11</v>
      </c>
      <c r="E9" s="128" t="s">
        <v>69</v>
      </c>
      <c r="F9" s="129">
        <v>0</v>
      </c>
      <c r="G9" s="130">
        <v>1</v>
      </c>
      <c r="H9" s="130">
        <v>0</v>
      </c>
      <c r="I9" s="131">
        <v>0</v>
      </c>
      <c r="J9" s="132">
        <f>K9-Inputs!C10</f>
        <v>20</v>
      </c>
      <c r="K9" s="133">
        <f>Inputs!B10</f>
        <v>30</v>
      </c>
      <c r="L9" s="134">
        <f>K9+Inputs!C10</f>
        <v>40</v>
      </c>
      <c r="M9" s="132">
        <f>N9-Inputs!E10</f>
        <v>104</v>
      </c>
      <c r="N9" s="133">
        <f>Inputs!D10</f>
        <v>131</v>
      </c>
      <c r="O9" s="135">
        <f>N9+Inputs!E10</f>
        <v>158</v>
      </c>
      <c r="P9" s="136">
        <f>IF($J9&lt;Models!$A$7,Models!$B$7,IF($J9&lt;Models!$A$8,(Models!$B$7+(Advancement!$J9-Models!$A$7)/Models!$A$8*(Models!$B$8-Models!$B$7)),IF($J9&lt;Models!$A$9,(Models!$B$8+(Advancement!$J9-Models!$A$8)/Models!$A$9*(Models!$B$9-Models!$B$8)),IF($J9&lt;Models!$A$10,(Models!$B$9+(Advancement!$J9-Models!$A$9)/Models!$A$10*(Models!$B$10-Models!$B$9)),IF($J9&lt;Models!$A$11,(Models!$B$10+(Advancement!$J9-Models!$A$10)/Models!$A$11*(Models!$B$11-Models!$B$10)),IF($J9&lt;Models!$A$12,(Models!$B$11+(Advancement!$J9-Models!$A$11)/Models!$A$12*(Models!$B$12-Models!$B$11)),IF($J9&lt;Models!$A$13,(Models!$B$12+(Advancement!$J9-Models!$A$12)/Models!$A$13*(Models!$B$13-Models!$B$12)),IF($J9&lt;Models!$A$14,(Models!$B$13+(Advancement!$J9-Models!$A$13)/Models!$A$14*(Models!$B$14-Models!$B$13)),IF($J9&lt;Models!$A$15,(Models!$B$14+(Advancement!$J9-Models!$A$14)/Models!$A$15*(Models!$B$15-Models!$B$14)),Models!$B$15)))))))))</f>
        <v>1.85</v>
      </c>
      <c r="Q9" s="137">
        <f>IF($K9&lt;Models!$A$7,Models!$B$7,IF($K9&lt;Models!$A$8,(Models!$B$7+(Advancement!$K9-Models!$A$7)/Models!$A$8*(Models!$B$8-Models!$B$7)),IF($K9&lt;Models!$A$9,(Models!$B$8+(Advancement!$K9-Models!$A$8)/Models!$A$9*(Models!$B$9-Models!$B$8)),IF($K9&lt;Models!$A$10,(Models!$B$9+(Advancement!$K9-Models!$A$9)/Models!$A$10*(Models!$B$10-Models!$B$9)),IF($K9&lt;Models!$A$11,(Models!$B$10+(Advancement!$K9-Models!$A$10)/Models!$A$11*(Models!$B$11-Models!$B$10)),IF($K9&lt;Models!$A$12,(Models!$B$11+(Advancement!$K9-Models!$A$11)/Models!$A$12*(Models!$B$12-Models!$B$11)),IF($K9&lt;Models!$A$13,(Models!$B$12+(Advancement!$K9-Models!$A$12)/Models!$A$13*(Models!$B$13-Models!$B$12)),IF($K9&lt;Models!$A$14,(Models!$B$13+(Advancement!$K9-Models!$A$13)/Models!$A$14*(Models!$B$14-Models!$B$13)),IF($K9&lt;Models!$A$15,(Models!$B$14+(Advancement!$K9-Models!$A$14)/Models!$A$15*(Models!$B$15-Models!$B$14)),Models!$B$15)))))))))</f>
        <v>2.2000000000000002</v>
      </c>
      <c r="R9" s="138">
        <f>IF($L9&lt;Models!$A$7,Models!$B$7,IF($L9&lt;Models!$A$8,(Models!$B$7+(Advancement!$L9-Models!$A$7)/Models!$A$8*(Models!$B$8-Models!$B$7)),IF($L9&lt;Models!$A$9,(Models!$B$8+(Advancement!$L9-Models!$A$8)/Models!$A$9*(Models!$B$9-Models!$B$8)),IF($L9&lt;Models!$A$10,(Models!$B$9+(Advancement!$L9-Models!$A$9)/Models!$A$10*(Models!$B$10-Models!$B$9)),IF($L9&lt;Models!$A$11,(Models!$B$10+(Advancement!$L9-Models!$A$10)/Models!$A$11*(Models!$B$11-Models!$B$10)),IF($L9&lt;Models!$A$12,(Models!$B$11+(Advancement!$L9-Models!$A$11)/Models!$A$12*(Models!$B$12-Models!$B$11)),IF($L9&lt;Models!$A$13,(Models!$B$12+(Advancement!$L9-Models!$A$12)/Models!$A$13*(Models!$B$13-Models!$B$12)),IF($L9&lt;Models!$A$14,(Models!$B$13+(Advancement!$L9-Models!$A$13)/Models!$A$14*(Models!$B$14-Models!$B$13)),IF($L9&lt;Models!$A$15,(Models!$B$14+(Advancement!$L9-Models!$A$14)/Models!$A$15*(Models!$B$15-Models!$B$14)),Models!$B$15)))))))))</f>
        <v>2.1</v>
      </c>
      <c r="S9" s="139">
        <f t="shared" si="5"/>
        <v>1.42598</v>
      </c>
      <c r="T9" s="137">
        <f t="shared" si="6"/>
        <v>1.3805500000000002</v>
      </c>
      <c r="U9" s="140">
        <f t="shared" si="7"/>
        <v>1.3351200000000001</v>
      </c>
      <c r="V9" s="136">
        <f>(40.41*M9^(-0.437)-0.047*(0.77*J9+12.4)+3.15)*Inputs!$I$6/1000*60</f>
        <v>2.1458393973509011</v>
      </c>
      <c r="W9" s="137">
        <f>(40.41*N9^(-0.437)-0.047*(0.77*K9+12.4)+3.15)*Inputs!$I$6/1000*60</f>
        <v>1.8844501885502059</v>
      </c>
      <c r="X9" s="140">
        <f>(40.41*O9^(-0.437)-0.047*(0.77*L9+12.4)+3.15)*Inputs!$I$6/1000*60</f>
        <v>1.6626540178496294</v>
      </c>
      <c r="Y9" s="136">
        <f>IF($J9&lt;Models!$A$7,Models!$C$7,IF($J9&lt;Models!$A$8,(Models!$C$7+(Advancement!$J9-Models!$A$7)/Models!$A$8*(Models!$C$8-Models!$C$7)),IF($J9&lt;Models!$A$9,(Models!$C$8+(Advancement!$J9-Models!$A$8)/Models!$A$9*(Models!$C$9-Models!$C$8)),IF($J9&lt;Models!$A$10,(Models!$C$9+(Advancement!$J9-Models!$A$9)/Models!$A$10*(Models!$C$10-Models!$C$9)),IF($J9&lt;Models!$A$11,(Models!$C$10+(Advancement!$J9-Models!$A$10)/Models!$A$11*(Models!$C$11-Models!$C$10)),IF($J9&lt;Models!$A$12,(Models!$C$11+(Advancement!$J9-Models!$A$11)/Models!$A$12*(Models!$C$12-Models!$C$11)),IF($J9&lt;Models!$A$13,(Models!$C$12+(Advancement!$J9-Models!$A$12)/Models!$A$13*(Models!$C$13-Models!$C$12)),IF($J9&lt;Models!$A$14,(Models!$C$13+(Advancement!$J9-Models!$A$13)/Models!$A$14*(Models!$C$14-Models!$C$13)),IF($J9&lt;Models!$A$15,(Models!$C$14+(Advancement!$J9-Models!$A$14)/Models!$A$15*(Models!$C$15-Models!$C$14)),Models!$C$15)))))))))</f>
        <v>1.42598</v>
      </c>
      <c r="Z9" s="137">
        <f>IF($K9&lt;Models!$A$7,Models!$C$7,IF($K9&lt;Models!$A$8,(Models!$C$7+(Advancement!$K9-Models!$A$7)/Models!$A$8*(Models!$C$8-Models!$C$7)),IF($K9&lt;Models!$A$9,(Models!$C$8+(Advancement!$K9-Models!$A$8)/Models!$A$9*(Models!$C$9-Models!$C$8)),IF($K9&lt;Models!$A$10,(Models!$C$9+(Advancement!$K9-Models!$A$9)/Models!$A$10*(Models!$C$10-Models!$C$9)),IF($K9&lt;Models!$A$11,(Models!$C$10+(Advancement!$K9-Models!$A$10)/Models!$A$11*(Models!$C$11-Models!$C$10)),IF($K9&lt;Models!$A$12,(Models!$C$11+(Advancement!$K9-Models!$A$11)/Models!$A$12*(Models!$C$12-Models!$C$11)),IF($K9&lt;Models!$A$13,(Models!$C$12+(Advancement!$K9-Models!$A$12)/Models!$A$13*(Models!$C$13-Models!$C$12)),IF($K9&lt;Models!$A$14,(Models!$C$13+(Advancement!$K9-Models!$A$13)/Models!$A$14*(Models!$C$14-Models!$C$13)),IF($K9&lt;Models!$A$15,(Models!$C$14+(Advancement!$K9-Models!$A$14)/Models!$A$15*(Models!$C$15-Models!$C$14)),Models!$C$15)))))))))</f>
        <v>1.3805500000000002</v>
      </c>
      <c r="AA9" s="140">
        <f>IF($L9&lt;Models!$A$7,Models!$C$7,IF($L9&lt;Models!$A$8,(Models!$C$7+(Advancement!$L9-Models!$A$7)/Models!$A$8*(Models!$C$8-Models!$C$7)),IF($L9&lt;Models!$A$9,(Models!$C$8+(Advancement!$L9-Models!$A$8)/Models!$A$9*(Models!$C$9-Models!$C$8)),IF($L9&lt;Models!$A$10,(Models!$C$9+(Advancement!$L9-Models!$A$9)/Models!$A$10*(Models!$C$10-Models!$C$9)),IF($L9&lt;Models!$A$11,(Models!$C$10+(Advancement!$L9-Models!$A$10)/Models!$A$11*(Models!$C$11-Models!$C$10)),IF($L9&lt;Models!$A$12,(Models!$C$11+(Advancement!$L9-Models!$A$11)/Models!$A$12*(Models!$C$12-Models!$C$11)),IF($L9&lt;Models!$A$13,(Models!$C$12+(Advancement!$L9-Models!$A$12)/Models!$A$13*(Models!$C$13-Models!$C$12)),IF($L9&lt;Models!$A$14,(Models!$C$13+(Advancement!$L9-Models!$A$13)/Models!$A$14*(Models!$C$14-Models!$C$13)),IF($L9&lt;Models!$A$15,(Models!$C$14+(Advancement!$L9-Models!$A$14)/Models!$A$15*(Models!$C$15-Models!$C$14)),Models!$C$15)))))))))</f>
        <v>1.3351200000000001</v>
      </c>
      <c r="AB9" s="136">
        <f>IF($J9&lt;Models!$A$7,Models!$D$7,IF($J9&lt;Models!$A$8,(Models!$D$7+(Advancement!$J9-Models!$A$7)/Models!$A$8*(Models!$D$8-Models!$D$7)),IF($J9&lt;Models!$A$9,(Models!$D$8+(Advancement!$J9-Models!$A$8)/Models!$A$9*(Models!$D$9-Models!$D$8)),IF($J9&lt;Models!$A$10,(Models!$D$9+(Advancement!$J9-Models!$A$9)/Models!$A$10*(Models!$D$10-Models!$D$9)),IF($J9&lt;Models!$A$11,(Models!$D$10+(Advancement!$J9-Models!$A$10)/Models!$A$11*(Models!$D$11-Models!$D$10)),IF($J9&lt;Models!$A$12,(Models!$D$11+(Advancement!$J9-Models!$A$11)/Models!$A$12*(Models!$D$12-Models!$D$11)),IF($J9&lt;Models!$A$13,(Models!$D$12+(Advancement!$J9-Models!$A$12)/Models!$A$13*(Models!$D$13-Models!$D$12)),IF($J9&lt;Models!$A$14,(Models!$D$13+(Advancement!$J9-Models!$A$13)/Models!$A$14*(Models!$D$14-Models!$D$13)),IF($J9&lt;Models!$A$15,(Models!$D$14+(Advancement!$J9-Models!$A$14)/Models!$A$15*(Models!$D$15-Models!$D$14)),Models!$D$15)))))))))</f>
        <v>1.4</v>
      </c>
      <c r="AC9" s="137">
        <f>IF($K9&lt;Models!$A$7,Models!$D$7,IF($K9&lt;Models!$A$8,(Models!$D$7+(Advancement!$K9-Models!$A$7)/Models!$A$8*(Models!$D$8-Models!$D$7)),IF($K9&lt;Models!$A$9,(Models!$D$8+(Advancement!$K9-Models!$A$8)/Models!$A$9*(Models!$D$9-Models!$D$8)),IF($K9&lt;Models!$A$10,(Models!$D$9+(Advancement!$K9-Models!$A$9)/Models!$A$10*(Models!$D$10-Models!$D$9)),IF($K9&lt;Models!$A$11,(Models!$D$10+(Advancement!$K9-Models!$A$10)/Models!$A$11*(Models!$D$11-Models!$D$10)),IF($K9&lt;Models!$A$12,(Models!$D$11+(Advancement!$K9-Models!$A$11)/Models!$A$12*(Models!$D$12-Models!$D$11)),IF($K9&lt;Models!$A$13,(Models!$D$12+(Advancement!$K9-Models!$A$12)/Models!$A$13*(Models!$D$13-Models!$D$12)),IF($K9&lt;Models!$A$14,(Models!$D$13+(Advancement!$K9-Models!$A$13)/Models!$A$14*(Models!$D$14-Models!$D$13)),IF($K9&lt;Models!$A$15,(Models!$D$14+(Advancement!$K9-Models!$A$14)/Models!$A$15*(Models!$D$15-Models!$D$14)),Models!$D$15)))))))))</f>
        <v>1.8</v>
      </c>
      <c r="AD9" s="140">
        <f>IF($L9&lt;Models!$A$7,Models!$D$7,IF($L9&lt;Models!$A$8,(Models!$D$7+(Advancement!$L9-Models!$A$7)/Models!$A$8*(Models!$D$8-Models!$D$7)),IF($L9&lt;Models!$A$9,(Models!$D$8+(Advancement!$L9-Models!$A$8)/Models!$A$9*(Models!$D$9-Models!$D$8)),IF($L9&lt;Models!$A$10,(Models!$D$9+(Advancement!$L9-Models!$A$9)/Models!$A$10*(Models!$D$10-Models!$D$9)),IF($L9&lt;Models!$A$11,(Models!$D$10+(Advancement!$L9-Models!$A$10)/Models!$A$11*(Models!$D$11-Models!$D$10)),IF($L9&lt;Models!$A$12,(Models!$D$11+(Advancement!$L9-Models!$A$11)/Models!$A$12*(Models!$D$12-Models!$D$11)),IF($L9&lt;Models!$A$13,(Models!$D$12+(Advancement!$L9-Models!$A$12)/Models!$A$13*(Models!$D$13-Models!$D$12)),IF($L9&lt;Models!$A$14,(Models!$D$13+(Advancement!$L9-Models!$A$13)/Models!$A$14*(Models!$D$14-Models!$D$13)),IF($L9&lt;Models!$A$15,(Models!$D$14+(Advancement!$L9-Models!$A$14)/Models!$A$15*(Models!$D$15-Models!$D$14)),Models!$D$15)))))))))</f>
        <v>2.1</v>
      </c>
      <c r="AE9" s="136">
        <f t="shared" si="8"/>
        <v>1.6495598794701802</v>
      </c>
      <c r="AF9" s="137">
        <f t="shared" si="9"/>
        <v>1.7291100377100412</v>
      </c>
      <c r="AG9" s="138">
        <f t="shared" si="10"/>
        <v>1.7065788035699261</v>
      </c>
      <c r="AH9" s="120">
        <f t="shared" si="2"/>
        <v>9.8065373616088389E-3</v>
      </c>
      <c r="AI9" s="120">
        <f t="shared" si="3"/>
        <v>9.355373709852911E-3</v>
      </c>
      <c r="AJ9" s="120">
        <f t="shared" si="4"/>
        <v>9.4788887301285839E-3</v>
      </c>
    </row>
    <row r="10" spans="1:36" ht="12" thickBot="1" x14ac:dyDescent="0.3">
      <c r="A10" s="125">
        <v>28</v>
      </c>
      <c r="B10" s="126">
        <f t="shared" ref="B10:B19" si="11">C9</f>
        <v>51505.5</v>
      </c>
      <c r="C10" s="126">
        <v>51564</v>
      </c>
      <c r="D10" s="127">
        <f t="shared" si="0"/>
        <v>58.5</v>
      </c>
      <c r="E10" s="128" t="s">
        <v>15</v>
      </c>
      <c r="F10" s="129">
        <v>0</v>
      </c>
      <c r="G10" s="130">
        <v>0</v>
      </c>
      <c r="H10" s="130">
        <v>0.25</v>
      </c>
      <c r="I10" s="131">
        <v>0.75</v>
      </c>
      <c r="J10" s="132">
        <f>K10-Inputs!C11</f>
        <v>59</v>
      </c>
      <c r="K10" s="133">
        <f>Inputs!B11</f>
        <v>72</v>
      </c>
      <c r="L10" s="134">
        <f>K10+Inputs!C11</f>
        <v>85</v>
      </c>
      <c r="M10" s="132">
        <f>N10-Inputs!E11</f>
        <v>104</v>
      </c>
      <c r="N10" s="133">
        <f>Inputs!D11</f>
        <v>131</v>
      </c>
      <c r="O10" s="135">
        <f>N10+Inputs!E11</f>
        <v>158</v>
      </c>
      <c r="P10" s="136">
        <f>IF($J10&lt;Models!$A$7,Models!$B$7,IF($J10&lt;Models!$A$8,(Models!$B$7+(Advancement!$J10-Models!$A$7)/Models!$A$8*(Models!$B$8-Models!$B$7)),IF($J10&lt;Models!$A$9,(Models!$B$8+(Advancement!$J10-Models!$A$8)/Models!$A$9*(Models!$B$9-Models!$B$8)),IF($J10&lt;Models!$A$10,(Models!$B$9+(Advancement!$J10-Models!$A$9)/Models!$A$10*(Models!$B$10-Models!$B$9)),IF($J10&lt;Models!$A$11,(Models!$B$10+(Advancement!$J10-Models!$A$10)/Models!$A$11*(Models!$B$11-Models!$B$10)),IF($J10&lt;Models!$A$12,(Models!$B$11+(Advancement!$J10-Models!$A$11)/Models!$A$12*(Models!$B$12-Models!$B$11)),IF($J10&lt;Models!$A$13,(Models!$B$12+(Advancement!$J10-Models!$A$12)/Models!$A$13*(Models!$B$13-Models!$B$12)),IF($J10&lt;Models!$A$14,(Models!$B$13+(Advancement!$J10-Models!$A$13)/Models!$A$14*(Models!$B$14-Models!$B$13)),IF($J10&lt;Models!$A$15,(Models!$B$14+(Advancement!$J10-Models!$A$14)/Models!$A$15*(Models!$B$15-Models!$B$14)),Models!$B$15)))))))))</f>
        <v>1.97</v>
      </c>
      <c r="Q10" s="137">
        <f>IF($K10&lt;Models!$A$7,Models!$B$7,IF($K10&lt;Models!$A$8,(Models!$B$7+(Advancement!$K10-Models!$A$7)/Models!$A$8*(Models!$B$8-Models!$B$7)),IF($K10&lt;Models!$A$9,(Models!$B$8+(Advancement!$K10-Models!$A$8)/Models!$A$9*(Models!$B$9-Models!$B$8)),IF($K10&lt;Models!$A$10,(Models!$B$9+(Advancement!$K10-Models!$A$9)/Models!$A$10*(Models!$B$10-Models!$B$9)),IF($K10&lt;Models!$A$11,(Models!$B$10+(Advancement!$K10-Models!$A$10)/Models!$A$11*(Models!$B$11-Models!$B$10)),IF($K10&lt;Models!$A$12,(Models!$B$11+(Advancement!$K10-Models!$A$11)/Models!$A$12*(Models!$B$12-Models!$B$11)),IF($K10&lt;Models!$A$13,(Models!$B$12+(Advancement!$K10-Models!$A$12)/Models!$A$13*(Models!$B$13-Models!$B$12)),IF($K10&lt;Models!$A$14,(Models!$B$13+(Advancement!$K10-Models!$A$13)/Models!$A$14*(Models!$B$14-Models!$B$13)),IF($K10&lt;Models!$A$15,(Models!$B$14+(Advancement!$K10-Models!$A$14)/Models!$A$15*(Models!$B$15-Models!$B$14)),Models!$B$15)))))))))</f>
        <v>1.6</v>
      </c>
      <c r="R10" s="138">
        <f>IF($L10&lt;Models!$A$7,Models!$B$7,IF($L10&lt;Models!$A$8,(Models!$B$7+(Advancement!$L10-Models!$A$7)/Models!$A$8*(Models!$B$8-Models!$B$7)),IF($L10&lt;Models!$A$9,(Models!$B$8+(Advancement!$L10-Models!$A$8)/Models!$A$9*(Models!$B$9-Models!$B$8)),IF($L10&lt;Models!$A$10,(Models!$B$9+(Advancement!$L10-Models!$A$9)/Models!$A$10*(Models!$B$10-Models!$B$9)),IF($L10&lt;Models!$A$11,(Models!$B$10+(Advancement!$L10-Models!$A$10)/Models!$A$11*(Models!$B$11-Models!$B$10)),IF($L10&lt;Models!$A$12,(Models!$B$11+(Advancement!$L10-Models!$A$11)/Models!$A$12*(Models!$B$12-Models!$B$11)),IF($L10&lt;Models!$A$13,(Models!$B$12+(Advancement!$L10-Models!$A$12)/Models!$A$13*(Models!$B$13-Models!$B$12)),IF($L10&lt;Models!$A$14,(Models!$B$13+(Advancement!$L10-Models!$A$13)/Models!$A$14*(Models!$B$14-Models!$B$13)),IF($L10&lt;Models!$A$15,(Models!$B$14+(Advancement!$L10-Models!$A$14)/Models!$A$15*(Models!$B$15-Models!$B$14)),Models!$B$15)))))))))</f>
        <v>1.6</v>
      </c>
      <c r="S10" s="139">
        <f t="shared" si="5"/>
        <v>1.2488030000000001</v>
      </c>
      <c r="T10" s="137">
        <f t="shared" si="6"/>
        <v>1.1897440000000001</v>
      </c>
      <c r="U10" s="140">
        <f t="shared" si="7"/>
        <v>1.1306850000000002</v>
      </c>
      <c r="V10" s="136">
        <f>(40.41*M10^(-0.437)-0.047*(0.77*J10+12.4)+3.15)*Inputs!$I$6/1000*60</f>
        <v>1.722416397350901</v>
      </c>
      <c r="W10" s="137">
        <f>(40.41*N10^(-0.437)-0.047*(0.77*K10+12.4)+3.15)*Inputs!$I$6/1000*60</f>
        <v>1.4284561885502056</v>
      </c>
      <c r="X10" s="140">
        <f>(40.41*O10^(-0.437)-0.047*(0.77*L10+12.4)+3.15)*Inputs!$I$6/1000*60</f>
        <v>1.1740890178496297</v>
      </c>
      <c r="Y10" s="136">
        <f>IF($J10&lt;Models!$A$7,Models!$C$7,IF($J10&lt;Models!$A$8,(Models!$C$7+(Advancement!$J10-Models!$A$7)/Models!$A$8*(Models!$C$8-Models!$C$7)),IF($J10&lt;Models!$A$9,(Models!$C$8+(Advancement!$J10-Models!$A$8)/Models!$A$9*(Models!$C$9-Models!$C$8)),IF($J10&lt;Models!$A$10,(Models!$C$9+(Advancement!$J10-Models!$A$9)/Models!$A$10*(Models!$C$10-Models!$C$9)),IF($J10&lt;Models!$A$11,(Models!$C$10+(Advancement!$J10-Models!$A$10)/Models!$A$11*(Models!$C$11-Models!$C$10)),IF($J10&lt;Models!$A$12,(Models!$C$11+(Advancement!$J10-Models!$A$11)/Models!$A$12*(Models!$C$12-Models!$C$11)),IF($J10&lt;Models!$A$13,(Models!$C$12+(Advancement!$J10-Models!$A$12)/Models!$A$13*(Models!$C$13-Models!$C$12)),IF($J10&lt;Models!$A$14,(Models!$C$13+(Advancement!$J10-Models!$A$13)/Models!$A$14*(Models!$C$14-Models!$C$13)),IF($J10&lt;Models!$A$15,(Models!$C$14+(Advancement!$J10-Models!$A$14)/Models!$A$15*(Models!$C$15-Models!$C$14)),Models!$C$15)))))))))</f>
        <v>1.2828755000000003</v>
      </c>
      <c r="Z10" s="137">
        <f>IF($K10&lt;Models!$A$7,Models!$C$7,IF($K10&lt;Models!$A$8,(Models!$C$7+(Advancement!$K10-Models!$A$7)/Models!$A$8*(Models!$C$8-Models!$C$7)),IF($K10&lt;Models!$A$9,(Models!$C$8+(Advancement!$K10-Models!$A$8)/Models!$A$9*(Models!$C$9-Models!$C$8)),IF($K10&lt;Models!$A$10,(Models!$C$9+(Advancement!$K10-Models!$A$9)/Models!$A$10*(Models!$C$10-Models!$C$9)),IF($K10&lt;Models!$A$11,(Models!$C$10+(Advancement!$K10-Models!$A$10)/Models!$A$11*(Models!$C$11-Models!$C$10)),IF($K10&lt;Models!$A$12,(Models!$C$11+(Advancement!$K10-Models!$A$11)/Models!$A$12*(Models!$C$12-Models!$C$11)),IF($K10&lt;Models!$A$13,(Models!$C$12+(Advancement!$K10-Models!$A$12)/Models!$A$13*(Models!$C$13-Models!$C$12)),IF($K10&lt;Models!$A$14,(Models!$C$13+(Advancement!$K10-Models!$A$13)/Models!$A$14*(Models!$C$14-Models!$C$13)),IF($K10&lt;Models!$A$15,(Models!$C$14+(Advancement!$K10-Models!$A$14)/Models!$A$15*(Models!$C$15-Models!$C$14)),Models!$C$15)))))))))</f>
        <v>1.1976942500000001</v>
      </c>
      <c r="AA10" s="140">
        <f>IF($L10&lt;Models!$A$7,Models!$C$7,IF($L10&lt;Models!$A$8,(Models!$C$7+(Advancement!$L10-Models!$A$7)/Models!$A$8*(Models!$C$8-Models!$C$7)),IF($L10&lt;Models!$A$9,(Models!$C$8+(Advancement!$L10-Models!$A$8)/Models!$A$9*(Models!$C$9-Models!$C$8)),IF($L10&lt;Models!$A$10,(Models!$C$9+(Advancement!$L10-Models!$A$9)/Models!$A$10*(Models!$C$10-Models!$C$9)),IF($L10&lt;Models!$A$11,(Models!$C$10+(Advancement!$L10-Models!$A$10)/Models!$A$11*(Models!$C$11-Models!$C$10)),IF($L10&lt;Models!$A$12,(Models!$C$11+(Advancement!$L10-Models!$A$11)/Models!$A$12*(Models!$C$12-Models!$C$11)),IF($L10&lt;Models!$A$13,(Models!$C$12+(Advancement!$L10-Models!$A$12)/Models!$A$13*(Models!$C$13-Models!$C$12)),IF($L10&lt;Models!$A$14,(Models!$C$13+(Advancement!$L10-Models!$A$13)/Models!$A$14*(Models!$C$14-Models!$C$13)),IF($L10&lt;Models!$A$15,(Models!$C$14+(Advancement!$L10-Models!$A$14)/Models!$A$15*(Models!$C$15-Models!$C$14)),Models!$C$15)))))))))</f>
        <v>1.1508761111111112</v>
      </c>
      <c r="AB10" s="136">
        <f>IF($J10&lt;Models!$A$7,Models!$D$7,IF($J10&lt;Models!$A$8,(Models!$D$7+(Advancement!$J10-Models!$A$7)/Models!$A$8*(Models!$D$8-Models!$D$7)),IF($J10&lt;Models!$A$9,(Models!$D$8+(Advancement!$J10-Models!$A$8)/Models!$A$9*(Models!$D$9-Models!$D$8)),IF($J10&lt;Models!$A$10,(Models!$D$9+(Advancement!$J10-Models!$A$9)/Models!$A$10*(Models!$D$10-Models!$D$9)),IF($J10&lt;Models!$A$11,(Models!$D$10+(Advancement!$J10-Models!$A$10)/Models!$A$11*(Models!$D$11-Models!$D$10)),IF($J10&lt;Models!$A$12,(Models!$D$11+(Advancement!$J10-Models!$A$11)/Models!$A$12*(Models!$D$12-Models!$D$11)),IF($J10&lt;Models!$A$13,(Models!$D$12+(Advancement!$J10-Models!$A$12)/Models!$A$13*(Models!$D$13-Models!$D$12)),IF($J10&lt;Models!$A$14,(Models!$D$13+(Advancement!$J10-Models!$A$13)/Models!$A$14*(Models!$D$14-Models!$D$13)),IF($J10&lt;Models!$A$15,(Models!$D$14+(Advancement!$J10-Models!$A$14)/Models!$A$15*(Models!$D$15-Models!$D$14)),Models!$D$15)))))))))</f>
        <v>2.2999999999999998</v>
      </c>
      <c r="AC10" s="137">
        <f>IF($K10&lt;Models!$A$7,Models!$D$7,IF($K10&lt;Models!$A$8,(Models!$D$7+(Advancement!$K10-Models!$A$7)/Models!$A$8*(Models!$D$8-Models!$D$7)),IF($K10&lt;Models!$A$9,(Models!$D$8+(Advancement!$K10-Models!$A$8)/Models!$A$9*(Models!$D$9-Models!$D$8)),IF($K10&lt;Models!$A$10,(Models!$D$9+(Advancement!$K10-Models!$A$9)/Models!$A$10*(Models!$D$10-Models!$D$9)),IF($K10&lt;Models!$A$11,(Models!$D$10+(Advancement!$K10-Models!$A$10)/Models!$A$11*(Models!$D$11-Models!$D$10)),IF($K10&lt;Models!$A$12,(Models!$D$11+(Advancement!$K10-Models!$A$11)/Models!$A$12*(Models!$D$12-Models!$D$11)),IF($K10&lt;Models!$A$13,(Models!$D$12+(Advancement!$K10-Models!$A$12)/Models!$A$13*(Models!$D$13-Models!$D$12)),IF($K10&lt;Models!$A$14,(Models!$D$13+(Advancement!$K10-Models!$A$13)/Models!$A$14*(Models!$D$14-Models!$D$13)),IF($K10&lt;Models!$A$15,(Models!$D$14+(Advancement!$K10-Models!$A$14)/Models!$A$15*(Models!$D$15-Models!$D$14)),Models!$D$15)))))))))</f>
        <v>2.1900000000000004</v>
      </c>
      <c r="AD10" s="140">
        <f>IF($L10&lt;Models!$A$7,Models!$D$7,IF($L10&lt;Models!$A$8,(Models!$D$7+(Advancement!$L10-Models!$A$7)/Models!$A$8*(Models!$D$8-Models!$D$7)),IF($L10&lt;Models!$A$9,(Models!$D$8+(Advancement!$L10-Models!$A$8)/Models!$A$9*(Models!$D$9-Models!$D$8)),IF($L10&lt;Models!$A$10,(Models!$D$9+(Advancement!$L10-Models!$A$9)/Models!$A$10*(Models!$D$10-Models!$D$9)),IF($L10&lt;Models!$A$11,(Models!$D$10+(Advancement!$L10-Models!$A$10)/Models!$A$11*(Models!$D$11-Models!$D$10)),IF($L10&lt;Models!$A$12,(Models!$D$11+(Advancement!$L10-Models!$A$11)/Models!$A$12*(Models!$D$12-Models!$D$11)),IF($L10&lt;Models!$A$13,(Models!$D$12+(Advancement!$L10-Models!$A$12)/Models!$A$13*(Models!$D$13-Models!$D$12)),IF($L10&lt;Models!$A$14,(Models!$D$13+(Advancement!$L10-Models!$A$13)/Models!$A$14*(Models!$D$14-Models!$D$13)),IF($L10&lt;Models!$A$15,(Models!$D$14+(Advancement!$L10-Models!$A$14)/Models!$A$15*(Models!$D$15-Models!$D$14)),Models!$D$15)))))))))</f>
        <v>1.7777777777777779</v>
      </c>
      <c r="AE10" s="136">
        <f t="shared" si="8"/>
        <v>1.7048189794701802</v>
      </c>
      <c r="AF10" s="137">
        <f t="shared" si="9"/>
        <v>1.5211788877100412</v>
      </c>
      <c r="AG10" s="138">
        <f t="shared" si="10"/>
        <v>1.3666855813477037</v>
      </c>
      <c r="AH10" s="120">
        <f t="shared" si="2"/>
        <v>5.046249062257737E-2</v>
      </c>
      <c r="AI10" s="120">
        <f t="shared" si="3"/>
        <v>5.6554434497978881E-2</v>
      </c>
      <c r="AJ10" s="120">
        <f t="shared" si="4"/>
        <v>6.2947478877966451E-2</v>
      </c>
    </row>
    <row r="11" spans="1:36" ht="12" thickBot="1" x14ac:dyDescent="0.3">
      <c r="A11" s="125">
        <v>29</v>
      </c>
      <c r="B11" s="126">
        <f t="shared" si="11"/>
        <v>51564</v>
      </c>
      <c r="C11" s="126">
        <f>51649-10</f>
        <v>51639</v>
      </c>
      <c r="D11" s="127">
        <f t="shared" si="0"/>
        <v>75</v>
      </c>
      <c r="E11" s="128" t="s">
        <v>16</v>
      </c>
      <c r="F11" s="129">
        <v>0</v>
      </c>
      <c r="G11" s="130">
        <v>0</v>
      </c>
      <c r="H11" s="130">
        <v>0.45</v>
      </c>
      <c r="I11" s="131">
        <v>0.55000000000000004</v>
      </c>
      <c r="J11" s="132">
        <f>K11-Inputs!C12</f>
        <v>51</v>
      </c>
      <c r="K11" s="133">
        <f>Inputs!B12</f>
        <v>59</v>
      </c>
      <c r="L11" s="134">
        <f>K11+Inputs!C12</f>
        <v>67</v>
      </c>
      <c r="M11" s="132">
        <f>N11-Inputs!E12</f>
        <v>72</v>
      </c>
      <c r="N11" s="133">
        <f>Inputs!D12</f>
        <v>90</v>
      </c>
      <c r="O11" s="135">
        <f>N11+Inputs!E12</f>
        <v>108</v>
      </c>
      <c r="P11" s="136">
        <f>IF($J11&lt;Models!$A$7,Models!$B$7,IF($J11&lt;Models!$A$8,(Models!$B$7+(Advancement!$J11-Models!$A$7)/Models!$A$8*(Models!$B$8-Models!$B$7)),IF($J11&lt;Models!$A$9,(Models!$B$8+(Advancement!$J11-Models!$A$8)/Models!$A$9*(Models!$B$9-Models!$B$8)),IF($J11&lt;Models!$A$10,(Models!$B$9+(Advancement!$J11-Models!$A$9)/Models!$A$10*(Models!$B$10-Models!$B$9)),IF($J11&lt;Models!$A$11,(Models!$B$10+(Advancement!$J11-Models!$A$10)/Models!$A$11*(Models!$B$11-Models!$B$10)),IF($J11&lt;Models!$A$12,(Models!$B$11+(Advancement!$J11-Models!$A$11)/Models!$A$12*(Models!$B$12-Models!$B$11)),IF($J11&lt;Models!$A$13,(Models!$B$12+(Advancement!$J11-Models!$A$12)/Models!$A$13*(Models!$B$13-Models!$B$12)),IF($J11&lt;Models!$A$14,(Models!$B$13+(Advancement!$J11-Models!$A$13)/Models!$A$14*(Models!$B$14-Models!$B$13)),IF($J11&lt;Models!$A$15,(Models!$B$14+(Advancement!$J11-Models!$A$14)/Models!$A$15*(Models!$B$15-Models!$B$14)),Models!$B$15)))))))))</f>
        <v>1.9966666666666666</v>
      </c>
      <c r="Q11" s="137">
        <f>IF($K11&lt;Models!$A$7,Models!$B$7,IF($K11&lt;Models!$A$8,(Models!$B$7+(Advancement!$K11-Models!$A$7)/Models!$A$8*(Models!$B$8-Models!$B$7)),IF($K11&lt;Models!$A$9,(Models!$B$8+(Advancement!$K11-Models!$A$8)/Models!$A$9*(Models!$B$9-Models!$B$8)),IF($K11&lt;Models!$A$10,(Models!$B$9+(Advancement!$K11-Models!$A$9)/Models!$A$10*(Models!$B$10-Models!$B$9)),IF($K11&lt;Models!$A$11,(Models!$B$10+(Advancement!$K11-Models!$A$10)/Models!$A$11*(Models!$B$11-Models!$B$10)),IF($K11&lt;Models!$A$12,(Models!$B$11+(Advancement!$K11-Models!$A$11)/Models!$A$12*(Models!$B$12-Models!$B$11)),IF($K11&lt;Models!$A$13,(Models!$B$12+(Advancement!$K11-Models!$A$12)/Models!$A$13*(Models!$B$13-Models!$B$12)),IF($K11&lt;Models!$A$14,(Models!$B$13+(Advancement!$K11-Models!$A$13)/Models!$A$14*(Models!$B$14-Models!$B$13)),IF($K11&lt;Models!$A$15,(Models!$B$14+(Advancement!$K11-Models!$A$14)/Models!$A$15*(Models!$B$15-Models!$B$14)),Models!$B$15)))))))))</f>
        <v>1.97</v>
      </c>
      <c r="R11" s="138">
        <f>IF($L11&lt;Models!$A$7,Models!$B$7,IF($L11&lt;Models!$A$8,(Models!$B$7+(Advancement!$L11-Models!$A$7)/Models!$A$8*(Models!$B$8-Models!$B$7)),IF($L11&lt;Models!$A$9,(Models!$B$8+(Advancement!$L11-Models!$A$8)/Models!$A$9*(Models!$B$9-Models!$B$8)),IF($L11&lt;Models!$A$10,(Models!$B$9+(Advancement!$L11-Models!$A$9)/Models!$A$10*(Models!$B$10-Models!$B$9)),IF($L11&lt;Models!$A$11,(Models!$B$10+(Advancement!$L11-Models!$A$10)/Models!$A$11*(Models!$B$11-Models!$B$10)),IF($L11&lt;Models!$A$12,(Models!$B$11+(Advancement!$L11-Models!$A$11)/Models!$A$12*(Models!$B$12-Models!$B$11)),IF($L11&lt;Models!$A$13,(Models!$B$12+(Advancement!$L11-Models!$A$12)/Models!$A$13*(Models!$B$13-Models!$B$12)),IF($L11&lt;Models!$A$14,(Models!$B$13+(Advancement!$L11-Models!$A$13)/Models!$A$14*(Models!$B$14-Models!$B$13)),IF($L11&lt;Models!$A$15,(Models!$B$14+(Advancement!$L11-Models!$A$14)/Models!$A$15*(Models!$B$15-Models!$B$14)),Models!$B$15)))))))))</f>
        <v>1.78</v>
      </c>
      <c r="S11" s="139">
        <f t="shared" si="5"/>
        <v>1.285147</v>
      </c>
      <c r="T11" s="137">
        <f t="shared" si="6"/>
        <v>1.2488030000000001</v>
      </c>
      <c r="U11" s="140">
        <f t="shared" si="7"/>
        <v>1.212459</v>
      </c>
      <c r="V11" s="136">
        <f>(40.41*M11^(-0.437)-0.047*(0.77*J11+12.4)+3.15)*Inputs!$I$6/1000*60</f>
        <v>2.086944780944477</v>
      </c>
      <c r="W11" s="137">
        <f>(40.41*N11^(-0.437)-0.047*(0.77*K11+12.4)+3.15)*Inputs!$I$6/1000*60</f>
        <v>1.8263011751823361</v>
      </c>
      <c r="X11" s="140">
        <f>(40.41*O11^(-0.437)-0.047*(0.77*L11+12.4)+3.15)*Inputs!$I$6/1000*60</f>
        <v>1.6095062263591924</v>
      </c>
      <c r="Y11" s="136">
        <f>IF($J11&lt;Models!$A$7,Models!$C$7,IF($J11&lt;Models!$A$8,(Models!$C$7+(Advancement!$J11-Models!$A$7)/Models!$A$8*(Models!$C$8-Models!$C$7)),IF($J11&lt;Models!$A$9,(Models!$C$8+(Advancement!$J11-Models!$A$8)/Models!$A$9*(Models!$C$9-Models!$C$8)),IF($J11&lt;Models!$A$10,(Models!$C$9+(Advancement!$J11-Models!$A$9)/Models!$A$10*(Models!$C$10-Models!$C$9)),IF($J11&lt;Models!$A$11,(Models!$C$10+(Advancement!$J11-Models!$A$10)/Models!$A$11*(Models!$C$11-Models!$C$10)),IF($J11&lt;Models!$A$12,(Models!$C$11+(Advancement!$J11-Models!$A$11)/Models!$A$12*(Models!$C$12-Models!$C$11)),IF($J11&lt;Models!$A$13,(Models!$C$12+(Advancement!$J11-Models!$A$12)/Models!$A$13*(Models!$C$13-Models!$C$12)),IF($J11&lt;Models!$A$14,(Models!$C$13+(Advancement!$J11-Models!$A$13)/Models!$A$14*(Models!$C$14-Models!$C$13)),IF($J11&lt;Models!$A$15,(Models!$C$14+(Advancement!$J11-Models!$A$14)/Models!$A$15*(Models!$C$15-Models!$C$14)),Models!$C$15)))))))))</f>
        <v>1.2889328333333336</v>
      </c>
      <c r="Z11" s="137">
        <f>IF($K11&lt;Models!$A$7,Models!$C$7,IF($K11&lt;Models!$A$8,(Models!$C$7+(Advancement!$K11-Models!$A$7)/Models!$A$8*(Models!$C$8-Models!$C$7)),IF($K11&lt;Models!$A$9,(Models!$C$8+(Advancement!$K11-Models!$A$8)/Models!$A$9*(Models!$C$9-Models!$C$8)),IF($K11&lt;Models!$A$10,(Models!$C$9+(Advancement!$K11-Models!$A$9)/Models!$A$10*(Models!$C$10-Models!$C$9)),IF($K11&lt;Models!$A$11,(Models!$C$10+(Advancement!$K11-Models!$A$10)/Models!$A$11*(Models!$C$11-Models!$C$10)),IF($K11&lt;Models!$A$12,(Models!$C$11+(Advancement!$K11-Models!$A$11)/Models!$A$12*(Models!$C$12-Models!$C$11)),IF($K11&lt;Models!$A$13,(Models!$C$12+(Advancement!$K11-Models!$A$12)/Models!$A$13*(Models!$C$13-Models!$C$12)),IF($K11&lt;Models!$A$14,(Models!$C$13+(Advancement!$K11-Models!$A$13)/Models!$A$14*(Models!$C$14-Models!$C$13)),IF($K11&lt;Models!$A$15,(Models!$C$14+(Advancement!$K11-Models!$A$14)/Models!$A$15*(Models!$C$15-Models!$C$14)),Models!$C$15)))))))))</f>
        <v>1.2828755000000003</v>
      </c>
      <c r="AA11" s="140">
        <f>IF($L11&lt;Models!$A$7,Models!$C$7,IF($L11&lt;Models!$A$8,(Models!$C$7+(Advancement!$L11-Models!$A$7)/Models!$A$8*(Models!$C$8-Models!$C$7)),IF($L11&lt;Models!$A$9,(Models!$C$8+(Advancement!$L11-Models!$A$8)/Models!$A$9*(Models!$C$9-Models!$C$8)),IF($L11&lt;Models!$A$10,(Models!$C$9+(Advancement!$L11-Models!$A$9)/Models!$A$10*(Models!$C$10-Models!$C$9)),IF($L11&lt;Models!$A$11,(Models!$C$10+(Advancement!$L11-Models!$A$10)/Models!$A$11*(Models!$C$11-Models!$C$10)),IF($L11&lt;Models!$A$12,(Models!$C$11+(Advancement!$L11-Models!$A$11)/Models!$A$12*(Models!$C$12-Models!$C$11)),IF($L11&lt;Models!$A$13,(Models!$C$12+(Advancement!$L11-Models!$A$12)/Models!$A$13*(Models!$C$13-Models!$C$12)),IF($L11&lt;Models!$A$14,(Models!$C$13+(Advancement!$L11-Models!$A$13)/Models!$A$14*(Models!$C$14-Models!$C$13)),IF($L11&lt;Models!$A$15,(Models!$C$14+(Advancement!$L11-Models!$A$14)/Models!$A$15*(Models!$C$15-Models!$C$14)),Models!$C$15)))))))))</f>
        <v>1.2397170000000002</v>
      </c>
      <c r="AB11" s="136">
        <f>IF($J11&lt;Models!$A$7,Models!$D$7,IF($J11&lt;Models!$A$8,(Models!$D$7+(Advancement!$J11-Models!$A$7)/Models!$A$8*(Models!$D$8-Models!$D$7)),IF($J11&lt;Models!$A$9,(Models!$D$8+(Advancement!$J11-Models!$A$8)/Models!$A$9*(Models!$D$9-Models!$D$8)),IF($J11&lt;Models!$A$10,(Models!$D$9+(Advancement!$J11-Models!$A$9)/Models!$A$10*(Models!$D$10-Models!$D$9)),IF($J11&lt;Models!$A$11,(Models!$D$10+(Advancement!$J11-Models!$A$10)/Models!$A$11*(Models!$D$11-Models!$D$10)),IF($J11&lt;Models!$A$12,(Models!$D$11+(Advancement!$J11-Models!$A$11)/Models!$A$12*(Models!$D$12-Models!$D$11)),IF($J11&lt;Models!$A$13,(Models!$D$12+(Advancement!$J11-Models!$A$12)/Models!$A$13*(Models!$D$13-Models!$D$12)),IF($J11&lt;Models!$A$14,(Models!$D$13+(Advancement!$J11-Models!$A$13)/Models!$A$14*(Models!$D$14-Models!$D$13)),IF($J11&lt;Models!$A$15,(Models!$D$14+(Advancement!$J11-Models!$A$14)/Models!$A$15*(Models!$D$15-Models!$D$14)),Models!$D$15)))))))))</f>
        <v>2.2999999999999998</v>
      </c>
      <c r="AC11" s="137">
        <f>IF($K11&lt;Models!$A$7,Models!$D$7,IF($K11&lt;Models!$A$8,(Models!$D$7+(Advancement!$K11-Models!$A$7)/Models!$A$8*(Models!$D$8-Models!$D$7)),IF($K11&lt;Models!$A$9,(Models!$D$8+(Advancement!$K11-Models!$A$8)/Models!$A$9*(Models!$D$9-Models!$D$8)),IF($K11&lt;Models!$A$10,(Models!$D$9+(Advancement!$K11-Models!$A$9)/Models!$A$10*(Models!$D$10-Models!$D$9)),IF($K11&lt;Models!$A$11,(Models!$D$10+(Advancement!$K11-Models!$A$10)/Models!$A$11*(Models!$D$11-Models!$D$10)),IF($K11&lt;Models!$A$12,(Models!$D$11+(Advancement!$K11-Models!$A$11)/Models!$A$12*(Models!$D$12-Models!$D$11)),IF($K11&lt;Models!$A$13,(Models!$D$12+(Advancement!$K11-Models!$A$12)/Models!$A$13*(Models!$D$13-Models!$D$12)),IF($K11&lt;Models!$A$14,(Models!$D$13+(Advancement!$K11-Models!$A$13)/Models!$A$14*(Models!$D$14-Models!$D$13)),IF($K11&lt;Models!$A$15,(Models!$D$14+(Advancement!$K11-Models!$A$14)/Models!$A$15*(Models!$D$15-Models!$D$14)),Models!$D$15)))))))))</f>
        <v>2.2999999999999998</v>
      </c>
      <c r="AD11" s="140">
        <f>IF($L11&lt;Models!$A$7,Models!$D$7,IF($L11&lt;Models!$A$8,(Models!$D$7+(Advancement!$L11-Models!$A$7)/Models!$A$8*(Models!$D$8-Models!$D$7)),IF($L11&lt;Models!$A$9,(Models!$D$8+(Advancement!$L11-Models!$A$8)/Models!$A$9*(Models!$D$9-Models!$D$8)),IF($L11&lt;Models!$A$10,(Models!$D$9+(Advancement!$L11-Models!$A$9)/Models!$A$10*(Models!$D$10-Models!$D$9)),IF($L11&lt;Models!$A$11,(Models!$D$10+(Advancement!$L11-Models!$A$10)/Models!$A$11*(Models!$D$11-Models!$D$10)),IF($L11&lt;Models!$A$12,(Models!$D$11+(Advancement!$L11-Models!$A$11)/Models!$A$12*(Models!$D$12-Models!$D$11)),IF($L11&lt;Models!$A$13,(Models!$D$12+(Advancement!$L11-Models!$A$12)/Models!$A$13*(Models!$D$13-Models!$D$12)),IF($L11&lt;Models!$A$14,(Models!$D$13+(Advancement!$L11-Models!$A$13)/Models!$A$14*(Models!$D$14-Models!$D$13)),IF($L11&lt;Models!$A$15,(Models!$D$14+(Advancement!$L11-Models!$A$14)/Models!$A$15*(Models!$D$15-Models!$D$14)),Models!$D$15)))))))))</f>
        <v>2.29</v>
      </c>
      <c r="AE11" s="136">
        <f t="shared" si="8"/>
        <v>1.7915382561888955</v>
      </c>
      <c r="AF11" s="137">
        <f t="shared" si="9"/>
        <v>1.7255959350364674</v>
      </c>
      <c r="AG11" s="138">
        <f t="shared" si="10"/>
        <v>1.6263364452718385</v>
      </c>
      <c r="AH11" s="120">
        <f t="shared" si="2"/>
        <v>6.156391986944524E-2</v>
      </c>
      <c r="AI11" s="120">
        <f t="shared" si="3"/>
        <v>6.3916537705988499E-2</v>
      </c>
      <c r="AJ11" s="120">
        <f t="shared" si="4"/>
        <v>6.7817528142907355E-2</v>
      </c>
    </row>
    <row r="12" spans="1:36" ht="12" thickBot="1" x14ac:dyDescent="0.3">
      <c r="A12" s="125" t="s">
        <v>70</v>
      </c>
      <c r="B12" s="126">
        <f>C11</f>
        <v>51639</v>
      </c>
      <c r="C12" s="126">
        <f>51683+60</f>
        <v>51743</v>
      </c>
      <c r="D12" s="127">
        <f t="shared" si="0"/>
        <v>104</v>
      </c>
      <c r="E12" s="128" t="s">
        <v>70</v>
      </c>
      <c r="F12" s="129">
        <v>0</v>
      </c>
      <c r="G12" s="130">
        <v>1</v>
      </c>
      <c r="H12" s="130">
        <v>0</v>
      </c>
      <c r="I12" s="131">
        <v>0</v>
      </c>
      <c r="J12" s="132">
        <f>K12-Inputs!C13</f>
        <v>20</v>
      </c>
      <c r="K12" s="133">
        <f>Inputs!B13</f>
        <v>30</v>
      </c>
      <c r="L12" s="134">
        <f>K12+Inputs!C13</f>
        <v>40</v>
      </c>
      <c r="M12" s="132">
        <f>N12-Inputs!E13</f>
        <v>72</v>
      </c>
      <c r="N12" s="133">
        <f>Inputs!D13</f>
        <v>90</v>
      </c>
      <c r="O12" s="135">
        <f>N12+Inputs!E13</f>
        <v>108</v>
      </c>
      <c r="P12" s="136">
        <f>IF($J12&lt;Models!$A$7,Models!$B$7,IF($J12&lt;Models!$A$8,(Models!$B$7+(Advancement!$J12-Models!$A$7)/Models!$A$8*(Models!$B$8-Models!$B$7)),IF($J12&lt;Models!$A$9,(Models!$B$8+(Advancement!$J12-Models!$A$8)/Models!$A$9*(Models!$B$9-Models!$B$8)),IF($J12&lt;Models!$A$10,(Models!$B$9+(Advancement!$J12-Models!$A$9)/Models!$A$10*(Models!$B$10-Models!$B$9)),IF($J12&lt;Models!$A$11,(Models!$B$10+(Advancement!$J12-Models!$A$10)/Models!$A$11*(Models!$B$11-Models!$B$10)),IF($J12&lt;Models!$A$12,(Models!$B$11+(Advancement!$J12-Models!$A$11)/Models!$A$12*(Models!$B$12-Models!$B$11)),IF($J12&lt;Models!$A$13,(Models!$B$12+(Advancement!$J12-Models!$A$12)/Models!$A$13*(Models!$B$13-Models!$B$12)),IF($J12&lt;Models!$A$14,(Models!$B$13+(Advancement!$J12-Models!$A$13)/Models!$A$14*(Models!$B$14-Models!$B$13)),IF($J12&lt;Models!$A$15,(Models!$B$14+(Advancement!$J12-Models!$A$14)/Models!$A$15*(Models!$B$15-Models!$B$14)),Models!$B$15)))))))))</f>
        <v>1.85</v>
      </c>
      <c r="Q12" s="137">
        <f>IF($K12&lt;Models!$A$7,Models!$B$7,IF($K12&lt;Models!$A$8,(Models!$B$7+(Advancement!$K12-Models!$A$7)/Models!$A$8*(Models!$B$8-Models!$B$7)),IF($K12&lt;Models!$A$9,(Models!$B$8+(Advancement!$K12-Models!$A$8)/Models!$A$9*(Models!$B$9-Models!$B$8)),IF($K12&lt;Models!$A$10,(Models!$B$9+(Advancement!$K12-Models!$A$9)/Models!$A$10*(Models!$B$10-Models!$B$9)),IF($K12&lt;Models!$A$11,(Models!$B$10+(Advancement!$K12-Models!$A$10)/Models!$A$11*(Models!$B$11-Models!$B$10)),IF($K12&lt;Models!$A$12,(Models!$B$11+(Advancement!$K12-Models!$A$11)/Models!$A$12*(Models!$B$12-Models!$B$11)),IF($K12&lt;Models!$A$13,(Models!$B$12+(Advancement!$K12-Models!$A$12)/Models!$A$13*(Models!$B$13-Models!$B$12)),IF($K12&lt;Models!$A$14,(Models!$B$13+(Advancement!$K12-Models!$A$13)/Models!$A$14*(Models!$B$14-Models!$B$13)),IF($K12&lt;Models!$A$15,(Models!$B$14+(Advancement!$K12-Models!$A$14)/Models!$A$15*(Models!$B$15-Models!$B$14)),Models!$B$15)))))))))</f>
        <v>2.2000000000000002</v>
      </c>
      <c r="R12" s="138">
        <f>IF($L12&lt;Models!$A$7,Models!$B$7,IF($L12&lt;Models!$A$8,(Models!$B$7+(Advancement!$L12-Models!$A$7)/Models!$A$8*(Models!$B$8-Models!$B$7)),IF($L12&lt;Models!$A$9,(Models!$B$8+(Advancement!$L12-Models!$A$8)/Models!$A$9*(Models!$B$9-Models!$B$8)),IF($L12&lt;Models!$A$10,(Models!$B$9+(Advancement!$L12-Models!$A$9)/Models!$A$10*(Models!$B$10-Models!$B$9)),IF($L12&lt;Models!$A$11,(Models!$B$10+(Advancement!$L12-Models!$A$10)/Models!$A$11*(Models!$B$11-Models!$B$10)),IF($L12&lt;Models!$A$12,(Models!$B$11+(Advancement!$L12-Models!$A$11)/Models!$A$12*(Models!$B$12-Models!$B$11)),IF($L12&lt;Models!$A$13,(Models!$B$12+(Advancement!$L12-Models!$A$12)/Models!$A$13*(Models!$B$13-Models!$B$12)),IF($L12&lt;Models!$A$14,(Models!$B$13+(Advancement!$L12-Models!$A$13)/Models!$A$14*(Models!$B$14-Models!$B$13)),IF($L12&lt;Models!$A$15,(Models!$B$14+(Advancement!$L12-Models!$A$14)/Models!$A$15*(Models!$B$15-Models!$B$14)),Models!$B$15)))))))))</f>
        <v>2.1</v>
      </c>
      <c r="S12" s="139">
        <f t="shared" si="5"/>
        <v>1.42598</v>
      </c>
      <c r="T12" s="137">
        <f t="shared" si="6"/>
        <v>1.3805500000000002</v>
      </c>
      <c r="U12" s="140">
        <f t="shared" si="7"/>
        <v>1.3351200000000001</v>
      </c>
      <c r="V12" s="136">
        <f>(40.41*M12^(-0.437)-0.047*(0.77*J12+12.4)+3.15)*Inputs!$I$6/1000*60</f>
        <v>2.4235117809444766</v>
      </c>
      <c r="W12" s="137">
        <f>(40.41*N12^(-0.437)-0.047*(0.77*K12+12.4)+3.15)*Inputs!$I$6/1000*60</f>
        <v>2.1411541751823355</v>
      </c>
      <c r="X12" s="140">
        <f>(40.41*O12^(-0.437)-0.047*(0.77*L12+12.4)+3.15)*Inputs!$I$6/1000*60</f>
        <v>1.9026452263591929</v>
      </c>
      <c r="Y12" s="136">
        <f>IF($J12&lt;Models!$A$7,Models!$C$7,IF($J12&lt;Models!$A$8,(Models!$C$7+(Advancement!$J12-Models!$A$7)/Models!$A$8*(Models!$C$8-Models!$C$7)),IF($J12&lt;Models!$A$9,(Models!$C$8+(Advancement!$J12-Models!$A$8)/Models!$A$9*(Models!$C$9-Models!$C$8)),IF($J12&lt;Models!$A$10,(Models!$C$9+(Advancement!$J12-Models!$A$9)/Models!$A$10*(Models!$C$10-Models!$C$9)),IF($J12&lt;Models!$A$11,(Models!$C$10+(Advancement!$J12-Models!$A$10)/Models!$A$11*(Models!$C$11-Models!$C$10)),IF($J12&lt;Models!$A$12,(Models!$C$11+(Advancement!$J12-Models!$A$11)/Models!$A$12*(Models!$C$12-Models!$C$11)),IF($J12&lt;Models!$A$13,(Models!$C$12+(Advancement!$J12-Models!$A$12)/Models!$A$13*(Models!$C$13-Models!$C$12)),IF($J12&lt;Models!$A$14,(Models!$C$13+(Advancement!$J12-Models!$A$13)/Models!$A$14*(Models!$C$14-Models!$C$13)),IF($J12&lt;Models!$A$15,(Models!$C$14+(Advancement!$J12-Models!$A$14)/Models!$A$15*(Models!$C$15-Models!$C$14)),Models!$C$15)))))))))</f>
        <v>1.42598</v>
      </c>
      <c r="Z12" s="137">
        <f>IF($K12&lt;Models!$A$7,Models!$C$7,IF($K12&lt;Models!$A$8,(Models!$C$7+(Advancement!$K12-Models!$A$7)/Models!$A$8*(Models!$C$8-Models!$C$7)),IF($K12&lt;Models!$A$9,(Models!$C$8+(Advancement!$K12-Models!$A$8)/Models!$A$9*(Models!$C$9-Models!$C$8)),IF($K12&lt;Models!$A$10,(Models!$C$9+(Advancement!$K12-Models!$A$9)/Models!$A$10*(Models!$C$10-Models!$C$9)),IF($K12&lt;Models!$A$11,(Models!$C$10+(Advancement!$K12-Models!$A$10)/Models!$A$11*(Models!$C$11-Models!$C$10)),IF($K12&lt;Models!$A$12,(Models!$C$11+(Advancement!$K12-Models!$A$11)/Models!$A$12*(Models!$C$12-Models!$C$11)),IF($K12&lt;Models!$A$13,(Models!$C$12+(Advancement!$K12-Models!$A$12)/Models!$A$13*(Models!$C$13-Models!$C$12)),IF($K12&lt;Models!$A$14,(Models!$C$13+(Advancement!$K12-Models!$A$13)/Models!$A$14*(Models!$C$14-Models!$C$13)),IF($K12&lt;Models!$A$15,(Models!$C$14+(Advancement!$K12-Models!$A$14)/Models!$A$15*(Models!$C$15-Models!$C$14)),Models!$C$15)))))))))</f>
        <v>1.3805500000000002</v>
      </c>
      <c r="AA12" s="140">
        <f>IF($L12&lt;Models!$A$7,Models!$C$7,IF($L12&lt;Models!$A$8,(Models!$C$7+(Advancement!$L12-Models!$A$7)/Models!$A$8*(Models!$C$8-Models!$C$7)),IF($L12&lt;Models!$A$9,(Models!$C$8+(Advancement!$L12-Models!$A$8)/Models!$A$9*(Models!$C$9-Models!$C$8)),IF($L12&lt;Models!$A$10,(Models!$C$9+(Advancement!$L12-Models!$A$9)/Models!$A$10*(Models!$C$10-Models!$C$9)),IF($L12&lt;Models!$A$11,(Models!$C$10+(Advancement!$L12-Models!$A$10)/Models!$A$11*(Models!$C$11-Models!$C$10)),IF($L12&lt;Models!$A$12,(Models!$C$11+(Advancement!$L12-Models!$A$11)/Models!$A$12*(Models!$C$12-Models!$C$11)),IF($L12&lt;Models!$A$13,(Models!$C$12+(Advancement!$L12-Models!$A$12)/Models!$A$13*(Models!$C$13-Models!$C$12)),IF($L12&lt;Models!$A$14,(Models!$C$13+(Advancement!$L12-Models!$A$13)/Models!$A$14*(Models!$C$14-Models!$C$13)),IF($L12&lt;Models!$A$15,(Models!$C$14+(Advancement!$L12-Models!$A$14)/Models!$A$15*(Models!$C$15-Models!$C$14)),Models!$C$15)))))))))</f>
        <v>1.3351200000000001</v>
      </c>
      <c r="AB12" s="136">
        <f>IF($J12&lt;Models!$A$7,Models!$D$7,IF($J12&lt;Models!$A$8,(Models!$D$7+(Advancement!$J12-Models!$A$7)/Models!$A$8*(Models!$D$8-Models!$D$7)),IF($J12&lt;Models!$A$9,(Models!$D$8+(Advancement!$J12-Models!$A$8)/Models!$A$9*(Models!$D$9-Models!$D$8)),IF($J12&lt;Models!$A$10,(Models!$D$9+(Advancement!$J12-Models!$A$9)/Models!$A$10*(Models!$D$10-Models!$D$9)),IF($J12&lt;Models!$A$11,(Models!$D$10+(Advancement!$J12-Models!$A$10)/Models!$A$11*(Models!$D$11-Models!$D$10)),IF($J12&lt;Models!$A$12,(Models!$D$11+(Advancement!$J12-Models!$A$11)/Models!$A$12*(Models!$D$12-Models!$D$11)),IF($J12&lt;Models!$A$13,(Models!$D$12+(Advancement!$J12-Models!$A$12)/Models!$A$13*(Models!$D$13-Models!$D$12)),IF($J12&lt;Models!$A$14,(Models!$D$13+(Advancement!$J12-Models!$A$13)/Models!$A$14*(Models!$D$14-Models!$D$13)),IF($J12&lt;Models!$A$15,(Models!$D$14+(Advancement!$J12-Models!$A$14)/Models!$A$15*(Models!$D$15-Models!$D$14)),Models!$D$15)))))))))</f>
        <v>1.4</v>
      </c>
      <c r="AC12" s="137">
        <f>IF($K12&lt;Models!$A$7,Models!$D$7,IF($K12&lt;Models!$A$8,(Models!$D$7+(Advancement!$K12-Models!$A$7)/Models!$A$8*(Models!$D$8-Models!$D$7)),IF($K12&lt;Models!$A$9,(Models!$D$8+(Advancement!$K12-Models!$A$8)/Models!$A$9*(Models!$D$9-Models!$D$8)),IF($K12&lt;Models!$A$10,(Models!$D$9+(Advancement!$K12-Models!$A$9)/Models!$A$10*(Models!$D$10-Models!$D$9)),IF($K12&lt;Models!$A$11,(Models!$D$10+(Advancement!$K12-Models!$A$10)/Models!$A$11*(Models!$D$11-Models!$D$10)),IF($K12&lt;Models!$A$12,(Models!$D$11+(Advancement!$K12-Models!$A$11)/Models!$A$12*(Models!$D$12-Models!$D$11)),IF($K12&lt;Models!$A$13,(Models!$D$12+(Advancement!$K12-Models!$A$12)/Models!$A$13*(Models!$D$13-Models!$D$12)),IF($K12&lt;Models!$A$14,(Models!$D$13+(Advancement!$K12-Models!$A$13)/Models!$A$14*(Models!$D$14-Models!$D$13)),IF($K12&lt;Models!$A$15,(Models!$D$14+(Advancement!$K12-Models!$A$14)/Models!$A$15*(Models!$D$15-Models!$D$14)),Models!$D$15)))))))))</f>
        <v>1.8</v>
      </c>
      <c r="AD12" s="140">
        <f>IF($L12&lt;Models!$A$7,Models!$D$7,IF($L12&lt;Models!$A$8,(Models!$D$7+(Advancement!$L12-Models!$A$7)/Models!$A$8*(Models!$D$8-Models!$D$7)),IF($L12&lt;Models!$A$9,(Models!$D$8+(Advancement!$L12-Models!$A$8)/Models!$A$9*(Models!$D$9-Models!$D$8)),IF($L12&lt;Models!$A$10,(Models!$D$9+(Advancement!$L12-Models!$A$9)/Models!$A$10*(Models!$D$10-Models!$D$9)),IF($L12&lt;Models!$A$11,(Models!$D$10+(Advancement!$L12-Models!$A$10)/Models!$A$11*(Models!$D$11-Models!$D$10)),IF($L12&lt;Models!$A$12,(Models!$D$11+(Advancement!$L12-Models!$A$11)/Models!$A$12*(Models!$D$12-Models!$D$11)),IF($L12&lt;Models!$A$13,(Models!$D$12+(Advancement!$L12-Models!$A$12)/Models!$A$13*(Models!$D$13-Models!$D$12)),IF($L12&lt;Models!$A$14,(Models!$D$13+(Advancement!$L12-Models!$A$13)/Models!$A$14*(Models!$D$14-Models!$D$13)),IF($L12&lt;Models!$A$15,(Models!$D$14+(Advancement!$L12-Models!$A$14)/Models!$A$15*(Models!$D$15-Models!$D$14)),Models!$D$15)))))))))</f>
        <v>2.1</v>
      </c>
      <c r="AE12" s="136">
        <f t="shared" si="8"/>
        <v>1.7050943561888954</v>
      </c>
      <c r="AF12" s="137">
        <f t="shared" si="9"/>
        <v>1.7804508350364674</v>
      </c>
      <c r="AG12" s="138">
        <f t="shared" si="10"/>
        <v>1.7545770452718386</v>
      </c>
      <c r="AH12" s="120">
        <f t="shared" si="2"/>
        <v>8.9696605888973435E-2</v>
      </c>
      <c r="AI12" s="120">
        <f t="shared" si="3"/>
        <v>8.5900252599480337E-2</v>
      </c>
      <c r="AJ12" s="120">
        <f t="shared" si="4"/>
        <v>8.716697672680021E-2</v>
      </c>
    </row>
    <row r="13" spans="1:36" ht="12" thickBot="1" x14ac:dyDescent="0.3">
      <c r="A13" s="125">
        <v>30</v>
      </c>
      <c r="B13" s="126">
        <f>C12</f>
        <v>51743</v>
      </c>
      <c r="C13" s="126">
        <f>51992-11.5</f>
        <v>51980.5</v>
      </c>
      <c r="D13" s="127">
        <f t="shared" si="0"/>
        <v>237.5</v>
      </c>
      <c r="E13" s="128" t="s">
        <v>17</v>
      </c>
      <c r="F13" s="129">
        <v>0</v>
      </c>
      <c r="G13" s="130">
        <v>0</v>
      </c>
      <c r="H13" s="130">
        <v>0.3</v>
      </c>
      <c r="I13" s="131">
        <v>0.7</v>
      </c>
      <c r="J13" s="132">
        <f>K13-Inputs!C14</f>
        <v>55</v>
      </c>
      <c r="K13" s="133">
        <f>Inputs!B14</f>
        <v>66</v>
      </c>
      <c r="L13" s="134">
        <f>K13+Inputs!C14</f>
        <v>77</v>
      </c>
      <c r="M13" s="132">
        <f>N13-Inputs!E14</f>
        <v>94</v>
      </c>
      <c r="N13" s="133">
        <f>Inputs!D14</f>
        <v>122</v>
      </c>
      <c r="O13" s="135">
        <f>N13+Inputs!E14</f>
        <v>150</v>
      </c>
      <c r="P13" s="136">
        <f>IF($J13&lt;Models!$A$7,Models!$B$7,IF($J13&lt;Models!$A$8,(Models!$B$7+(Advancement!$J13-Models!$A$7)/Models!$A$8*(Models!$B$8-Models!$B$7)),IF($J13&lt;Models!$A$9,(Models!$B$8+(Advancement!$J13-Models!$A$8)/Models!$A$9*(Models!$B$9-Models!$B$8)),IF($J13&lt;Models!$A$10,(Models!$B$9+(Advancement!$J13-Models!$A$9)/Models!$A$10*(Models!$B$10-Models!$B$9)),IF($J13&lt;Models!$A$11,(Models!$B$10+(Advancement!$J13-Models!$A$10)/Models!$A$11*(Models!$B$11-Models!$B$10)),IF($J13&lt;Models!$A$12,(Models!$B$11+(Advancement!$J13-Models!$A$11)/Models!$A$12*(Models!$B$12-Models!$B$11)),IF($J13&lt;Models!$A$13,(Models!$B$12+(Advancement!$J13-Models!$A$12)/Models!$A$13*(Models!$B$13-Models!$B$12)),IF($J13&lt;Models!$A$14,(Models!$B$13+(Advancement!$J13-Models!$A$13)/Models!$A$14*(Models!$B$14-Models!$B$13)),IF($J13&lt;Models!$A$15,(Models!$B$14+(Advancement!$J13-Models!$A$14)/Models!$A$15*(Models!$B$15-Models!$B$14)),Models!$B$15)))))))))</f>
        <v>1.9833333333333334</v>
      </c>
      <c r="Q13" s="137">
        <f>IF($K13&lt;Models!$A$7,Models!$B$7,IF($K13&lt;Models!$A$8,(Models!$B$7+(Advancement!$K13-Models!$A$7)/Models!$A$8*(Models!$B$8-Models!$B$7)),IF($K13&lt;Models!$A$9,(Models!$B$8+(Advancement!$K13-Models!$A$8)/Models!$A$9*(Models!$B$9-Models!$B$8)),IF($K13&lt;Models!$A$10,(Models!$B$9+(Advancement!$K13-Models!$A$9)/Models!$A$10*(Models!$B$10-Models!$B$9)),IF($K13&lt;Models!$A$11,(Models!$B$10+(Advancement!$K13-Models!$A$10)/Models!$A$11*(Models!$B$11-Models!$B$10)),IF($K13&lt;Models!$A$12,(Models!$B$11+(Advancement!$K13-Models!$A$11)/Models!$A$12*(Models!$B$12-Models!$B$11)),IF($K13&lt;Models!$A$13,(Models!$B$12+(Advancement!$K13-Models!$A$12)/Models!$A$13*(Models!$B$13-Models!$B$12)),IF($K13&lt;Models!$A$14,(Models!$B$13+(Advancement!$K13-Models!$A$13)/Models!$A$14*(Models!$B$14-Models!$B$13)),IF($K13&lt;Models!$A$15,(Models!$B$14+(Advancement!$K13-Models!$A$14)/Models!$A$15*(Models!$B$15-Models!$B$14)),Models!$B$15)))))))))</f>
        <v>1.7828571428571429</v>
      </c>
      <c r="R13" s="138">
        <f>IF($L13&lt;Models!$A$7,Models!$B$7,IF($L13&lt;Models!$A$8,(Models!$B$7+(Advancement!$L13-Models!$A$7)/Models!$A$8*(Models!$B$8-Models!$B$7)),IF($L13&lt;Models!$A$9,(Models!$B$8+(Advancement!$L13-Models!$A$8)/Models!$A$9*(Models!$B$9-Models!$B$8)),IF($L13&lt;Models!$A$10,(Models!$B$9+(Advancement!$L13-Models!$A$9)/Models!$A$10*(Models!$B$10-Models!$B$9)),IF($L13&lt;Models!$A$11,(Models!$B$10+(Advancement!$L13-Models!$A$10)/Models!$A$11*(Models!$B$11-Models!$B$10)),IF($L13&lt;Models!$A$12,(Models!$B$11+(Advancement!$L13-Models!$A$11)/Models!$A$12*(Models!$B$12-Models!$B$11)),IF($L13&lt;Models!$A$13,(Models!$B$12+(Advancement!$L13-Models!$A$12)/Models!$A$13*(Models!$B$13-Models!$B$12)),IF($L13&lt;Models!$A$14,(Models!$B$13+(Advancement!$L13-Models!$A$13)/Models!$A$14*(Models!$B$14-Models!$B$13)),IF($L13&lt;Models!$A$15,(Models!$B$14+(Advancement!$L13-Models!$A$14)/Models!$A$15*(Models!$B$15-Models!$B$14)),Models!$B$15)))))))))</f>
        <v>1.6</v>
      </c>
      <c r="S13" s="139">
        <f t="shared" si="5"/>
        <v>1.266975</v>
      </c>
      <c r="T13" s="137">
        <f t="shared" si="6"/>
        <v>1.2170020000000001</v>
      </c>
      <c r="U13" s="140">
        <f t="shared" si="7"/>
        <v>1.1670290000000001</v>
      </c>
      <c r="V13" s="136">
        <f>(40.41*M13^(-0.437)-0.047*(0.77*J13+12.4)+3.15)*Inputs!$I$6/1000*60</f>
        <v>1.8377911363399044</v>
      </c>
      <c r="W13" s="137">
        <f>(40.41*N13^(-0.437)-0.047*(0.77*K13+12.4)+3.15)*Inputs!$I$6/1000*60</f>
        <v>1.5390918534526636</v>
      </c>
      <c r="X13" s="140">
        <f>(40.41*O13^(-0.437)-0.047*(0.77*L13+12.4)+3.15)*Inputs!$I$6/1000*60</f>
        <v>1.2914159204212474</v>
      </c>
      <c r="Y13" s="136">
        <f>IF($J13&lt;Models!$A$7,Models!$C$7,IF($J13&lt;Models!$A$8,(Models!$C$7+(Advancement!$J13-Models!$A$7)/Models!$A$8*(Models!$C$8-Models!$C$7)),IF($J13&lt;Models!$A$9,(Models!$C$8+(Advancement!$J13-Models!$A$8)/Models!$A$9*(Models!$C$9-Models!$C$8)),IF($J13&lt;Models!$A$10,(Models!$C$9+(Advancement!$J13-Models!$A$9)/Models!$A$10*(Models!$C$10-Models!$C$9)),IF($J13&lt;Models!$A$11,(Models!$C$10+(Advancement!$J13-Models!$A$10)/Models!$A$11*(Models!$C$11-Models!$C$10)),IF($J13&lt;Models!$A$12,(Models!$C$11+(Advancement!$J13-Models!$A$11)/Models!$A$12*(Models!$C$12-Models!$C$11)),IF($J13&lt;Models!$A$13,(Models!$C$12+(Advancement!$J13-Models!$A$12)/Models!$A$13*(Models!$C$13-Models!$C$12)),IF($J13&lt;Models!$A$14,(Models!$C$13+(Advancement!$J13-Models!$A$13)/Models!$A$14*(Models!$C$14-Models!$C$13)),IF($J13&lt;Models!$A$15,(Models!$C$14+(Advancement!$J13-Models!$A$14)/Models!$A$15*(Models!$C$15-Models!$C$14)),Models!$C$15)))))))))</f>
        <v>1.2859041666666668</v>
      </c>
      <c r="Z13" s="137">
        <f>IF($K13&lt;Models!$A$7,Models!$C$7,IF($K13&lt;Models!$A$8,(Models!$C$7+(Advancement!$K13-Models!$A$7)/Models!$A$8*(Models!$C$8-Models!$C$7)),IF($K13&lt;Models!$A$9,(Models!$C$8+(Advancement!$K13-Models!$A$8)/Models!$A$9*(Models!$C$9-Models!$C$8)),IF($K13&lt;Models!$A$10,(Models!$C$9+(Advancement!$K13-Models!$A$9)/Models!$A$10*(Models!$C$10-Models!$C$9)),IF($K13&lt;Models!$A$11,(Models!$C$10+(Advancement!$K13-Models!$A$10)/Models!$A$11*(Models!$C$11-Models!$C$10)),IF($K13&lt;Models!$A$12,(Models!$C$11+(Advancement!$K13-Models!$A$11)/Models!$A$12*(Models!$C$12-Models!$C$11)),IF($K13&lt;Models!$A$13,(Models!$C$12+(Advancement!$K13-Models!$A$12)/Models!$A$13*(Models!$C$13-Models!$C$12)),IF($K13&lt;Models!$A$14,(Models!$C$13+(Advancement!$K13-Models!$A$13)/Models!$A$14*(Models!$C$14-Models!$C$13)),IF($K13&lt;Models!$A$15,(Models!$C$14+(Advancement!$K13-Models!$A$14)/Models!$A$15*(Models!$C$15-Models!$C$14)),Models!$C$15)))))))))</f>
        <v>1.2403660000000001</v>
      </c>
      <c r="AA13" s="140">
        <f>IF($L13&lt;Models!$A$7,Models!$C$7,IF($L13&lt;Models!$A$8,(Models!$C$7+(Advancement!$L13-Models!$A$7)/Models!$A$8*(Models!$C$8-Models!$C$7)),IF($L13&lt;Models!$A$9,(Models!$C$8+(Advancement!$L13-Models!$A$8)/Models!$A$9*(Models!$C$9-Models!$C$8)),IF($L13&lt;Models!$A$10,(Models!$C$9+(Advancement!$L13-Models!$A$9)/Models!$A$10*(Models!$C$10-Models!$C$9)),IF($L13&lt;Models!$A$11,(Models!$C$10+(Advancement!$L13-Models!$A$10)/Models!$A$11*(Models!$C$11-Models!$C$10)),IF($L13&lt;Models!$A$12,(Models!$C$11+(Advancement!$L13-Models!$A$11)/Models!$A$12*(Models!$C$12-Models!$C$11)),IF($L13&lt;Models!$A$13,(Models!$C$12+(Advancement!$L13-Models!$A$12)/Models!$A$13*(Models!$C$13-Models!$C$12)),IF($L13&lt;Models!$A$14,(Models!$C$13+(Advancement!$L13-Models!$A$13)/Models!$A$14*(Models!$C$14-Models!$C$13)),IF($L13&lt;Models!$A$15,(Models!$C$14+(Advancement!$L13-Models!$A$14)/Models!$A$15*(Models!$C$15-Models!$C$14)),Models!$C$15)))))))))</f>
        <v>1.1948548750000001</v>
      </c>
      <c r="AB13" s="136">
        <f>IF($J13&lt;Models!$A$7,Models!$D$7,IF($J13&lt;Models!$A$8,(Models!$D$7+(Advancement!$J13-Models!$A$7)/Models!$A$8*(Models!$D$8-Models!$D$7)),IF($J13&lt;Models!$A$9,(Models!$D$8+(Advancement!$J13-Models!$A$8)/Models!$A$9*(Models!$D$9-Models!$D$8)),IF($J13&lt;Models!$A$10,(Models!$D$9+(Advancement!$J13-Models!$A$9)/Models!$A$10*(Models!$D$10-Models!$D$9)),IF($J13&lt;Models!$A$11,(Models!$D$10+(Advancement!$J13-Models!$A$10)/Models!$A$11*(Models!$D$11-Models!$D$10)),IF($J13&lt;Models!$A$12,(Models!$D$11+(Advancement!$J13-Models!$A$11)/Models!$A$12*(Models!$D$12-Models!$D$11)),IF($J13&lt;Models!$A$13,(Models!$D$12+(Advancement!$J13-Models!$A$12)/Models!$A$13*(Models!$D$13-Models!$D$12)),IF($J13&lt;Models!$A$14,(Models!$D$13+(Advancement!$J13-Models!$A$13)/Models!$A$14*(Models!$D$14-Models!$D$13)),IF($J13&lt;Models!$A$15,(Models!$D$14+(Advancement!$J13-Models!$A$14)/Models!$A$15*(Models!$D$15-Models!$D$14)),Models!$D$15)))))))))</f>
        <v>2.2999999999999998</v>
      </c>
      <c r="AC13" s="137">
        <f>IF($K13&lt;Models!$A$7,Models!$D$7,IF($K13&lt;Models!$A$8,(Models!$D$7+(Advancement!$K13-Models!$A$7)/Models!$A$8*(Models!$D$8-Models!$D$7)),IF($K13&lt;Models!$A$9,(Models!$D$8+(Advancement!$K13-Models!$A$8)/Models!$A$9*(Models!$D$9-Models!$D$8)),IF($K13&lt;Models!$A$10,(Models!$D$9+(Advancement!$K13-Models!$A$9)/Models!$A$10*(Models!$D$10-Models!$D$9)),IF($K13&lt;Models!$A$11,(Models!$D$10+(Advancement!$K13-Models!$A$10)/Models!$A$11*(Models!$D$11-Models!$D$10)),IF($K13&lt;Models!$A$12,(Models!$D$11+(Advancement!$K13-Models!$A$11)/Models!$A$12*(Models!$D$12-Models!$D$11)),IF($K13&lt;Models!$A$13,(Models!$D$12+(Advancement!$K13-Models!$A$12)/Models!$A$13*(Models!$D$13-Models!$D$12)),IF($K13&lt;Models!$A$14,(Models!$D$13+(Advancement!$K13-Models!$A$13)/Models!$A$14*(Models!$D$14-Models!$D$13)),IF($K13&lt;Models!$A$15,(Models!$D$14+(Advancement!$K13-Models!$A$14)/Models!$A$15*(Models!$D$15-Models!$D$14)),Models!$D$15)))))))))</f>
        <v>2.2914285714285714</v>
      </c>
      <c r="AD13" s="140">
        <f>IF($L13&lt;Models!$A$7,Models!$D$7,IF($L13&lt;Models!$A$8,(Models!$D$7+(Advancement!$L13-Models!$A$7)/Models!$A$8*(Models!$D$8-Models!$D$7)),IF($L13&lt;Models!$A$9,(Models!$D$8+(Advancement!$L13-Models!$A$8)/Models!$A$9*(Models!$D$9-Models!$D$8)),IF($L13&lt;Models!$A$10,(Models!$D$9+(Advancement!$L13-Models!$A$9)/Models!$A$10*(Models!$D$10-Models!$D$9)),IF($L13&lt;Models!$A$11,(Models!$D$10+(Advancement!$L13-Models!$A$10)/Models!$A$11*(Models!$D$11-Models!$D$10)),IF($L13&lt;Models!$A$12,(Models!$D$11+(Advancement!$L13-Models!$A$11)/Models!$A$12*(Models!$D$12-Models!$D$11)),IF($L13&lt;Models!$A$13,(Models!$D$12+(Advancement!$L13-Models!$A$12)/Models!$A$13*(Models!$D$13-Models!$D$12)),IF($L13&lt;Models!$A$14,(Models!$D$13+(Advancement!$L13-Models!$A$13)/Models!$A$14*(Models!$D$14-Models!$D$13)),IF($L13&lt;Models!$A$15,(Models!$D$14+(Advancement!$L13-Models!$A$14)/Models!$A$15*(Models!$D$15-Models!$D$14)),Models!$D$15)))))))))</f>
        <v>2.165</v>
      </c>
      <c r="AE13" s="136">
        <f t="shared" si="8"/>
        <v>1.7348007272679808</v>
      </c>
      <c r="AF13" s="137">
        <f t="shared" si="9"/>
        <v>1.6141491135476755</v>
      </c>
      <c r="AG13" s="138">
        <f t="shared" si="10"/>
        <v>1.4836599590842494</v>
      </c>
      <c r="AH13" s="120">
        <f t="shared" si="2"/>
        <v>0.20132842948041996</v>
      </c>
      <c r="AI13" s="120">
        <f t="shared" si="3"/>
        <v>0.2163769771645927</v>
      </c>
      <c r="AJ13" s="120">
        <f t="shared" si="4"/>
        <v>0.23540751621950326</v>
      </c>
    </row>
    <row r="14" spans="1:36" ht="12" thickBot="1" x14ac:dyDescent="0.3">
      <c r="A14" s="141" t="s">
        <v>71</v>
      </c>
      <c r="B14" s="126">
        <f t="shared" si="11"/>
        <v>51980.5</v>
      </c>
      <c r="C14" s="142">
        <f>B14+23</f>
        <v>52003.5</v>
      </c>
      <c r="D14" s="127">
        <f t="shared" si="0"/>
        <v>23</v>
      </c>
      <c r="E14" s="143" t="s">
        <v>71</v>
      </c>
      <c r="F14" s="129">
        <v>0</v>
      </c>
      <c r="G14" s="130">
        <v>1</v>
      </c>
      <c r="H14" s="130">
        <v>0</v>
      </c>
      <c r="I14" s="131">
        <v>0</v>
      </c>
      <c r="J14" s="132">
        <f>K14-Inputs!C15</f>
        <v>20</v>
      </c>
      <c r="K14" s="133">
        <f>Inputs!B15</f>
        <v>30</v>
      </c>
      <c r="L14" s="134">
        <f>K14+Inputs!C15</f>
        <v>40</v>
      </c>
      <c r="M14" s="132">
        <f>N14-Inputs!E15</f>
        <v>94</v>
      </c>
      <c r="N14" s="133">
        <f>Inputs!D15</f>
        <v>122</v>
      </c>
      <c r="O14" s="135">
        <f>N14+Inputs!E15</f>
        <v>150</v>
      </c>
      <c r="P14" s="136">
        <f>IF($J14&lt;Models!$A$7,Models!$B$7,IF($J14&lt;Models!$A$8,(Models!$B$7+(Advancement!$J14-Models!$A$7)/Models!$A$8*(Models!$B$8-Models!$B$7)),IF($J14&lt;Models!$A$9,(Models!$B$8+(Advancement!$J14-Models!$A$8)/Models!$A$9*(Models!$B$9-Models!$B$8)),IF($J14&lt;Models!$A$10,(Models!$B$9+(Advancement!$J14-Models!$A$9)/Models!$A$10*(Models!$B$10-Models!$B$9)),IF($J14&lt;Models!$A$11,(Models!$B$10+(Advancement!$J14-Models!$A$10)/Models!$A$11*(Models!$B$11-Models!$B$10)),IF($J14&lt;Models!$A$12,(Models!$B$11+(Advancement!$J14-Models!$A$11)/Models!$A$12*(Models!$B$12-Models!$B$11)),IF($J14&lt;Models!$A$13,(Models!$B$12+(Advancement!$J14-Models!$A$12)/Models!$A$13*(Models!$B$13-Models!$B$12)),IF($J14&lt;Models!$A$14,(Models!$B$13+(Advancement!$J14-Models!$A$13)/Models!$A$14*(Models!$B$14-Models!$B$13)),IF($J14&lt;Models!$A$15,(Models!$B$14+(Advancement!$J14-Models!$A$14)/Models!$A$15*(Models!$B$15-Models!$B$14)),Models!$B$15)))))))))</f>
        <v>1.85</v>
      </c>
      <c r="Q14" s="137">
        <f>IF($K14&lt;Models!$A$7,Models!$B$7,IF($K14&lt;Models!$A$8,(Models!$B$7+(Advancement!$K14-Models!$A$7)/Models!$A$8*(Models!$B$8-Models!$B$7)),IF($K14&lt;Models!$A$9,(Models!$B$8+(Advancement!$K14-Models!$A$8)/Models!$A$9*(Models!$B$9-Models!$B$8)),IF($K14&lt;Models!$A$10,(Models!$B$9+(Advancement!$K14-Models!$A$9)/Models!$A$10*(Models!$B$10-Models!$B$9)),IF($K14&lt;Models!$A$11,(Models!$B$10+(Advancement!$K14-Models!$A$10)/Models!$A$11*(Models!$B$11-Models!$B$10)),IF($K14&lt;Models!$A$12,(Models!$B$11+(Advancement!$K14-Models!$A$11)/Models!$A$12*(Models!$B$12-Models!$B$11)),IF($K14&lt;Models!$A$13,(Models!$B$12+(Advancement!$K14-Models!$A$12)/Models!$A$13*(Models!$B$13-Models!$B$12)),IF($K14&lt;Models!$A$14,(Models!$B$13+(Advancement!$K14-Models!$A$13)/Models!$A$14*(Models!$B$14-Models!$B$13)),IF($K14&lt;Models!$A$15,(Models!$B$14+(Advancement!$K14-Models!$A$14)/Models!$A$15*(Models!$B$15-Models!$B$14)),Models!$B$15)))))))))</f>
        <v>2.2000000000000002</v>
      </c>
      <c r="R14" s="138">
        <f>IF($L14&lt;Models!$A$7,Models!$B$7,IF($L14&lt;Models!$A$8,(Models!$B$7+(Advancement!$L14-Models!$A$7)/Models!$A$8*(Models!$B$8-Models!$B$7)),IF($L14&lt;Models!$A$9,(Models!$B$8+(Advancement!$L14-Models!$A$8)/Models!$A$9*(Models!$B$9-Models!$B$8)),IF($L14&lt;Models!$A$10,(Models!$B$9+(Advancement!$L14-Models!$A$9)/Models!$A$10*(Models!$B$10-Models!$B$9)),IF($L14&lt;Models!$A$11,(Models!$B$10+(Advancement!$L14-Models!$A$10)/Models!$A$11*(Models!$B$11-Models!$B$10)),IF($L14&lt;Models!$A$12,(Models!$B$11+(Advancement!$L14-Models!$A$11)/Models!$A$12*(Models!$B$12-Models!$B$11)),IF($L14&lt;Models!$A$13,(Models!$B$12+(Advancement!$L14-Models!$A$12)/Models!$A$13*(Models!$B$13-Models!$B$12)),IF($L14&lt;Models!$A$14,(Models!$B$13+(Advancement!$L14-Models!$A$13)/Models!$A$14*(Models!$B$14-Models!$B$13)),IF($L14&lt;Models!$A$15,(Models!$B$14+(Advancement!$L14-Models!$A$14)/Models!$A$15*(Models!$B$15-Models!$B$14)),Models!$B$15)))))))))</f>
        <v>2.1</v>
      </c>
      <c r="S14" s="139">
        <f t="shared" si="5"/>
        <v>1.42598</v>
      </c>
      <c r="T14" s="137">
        <f t="shared" si="6"/>
        <v>1.3805500000000002</v>
      </c>
      <c r="U14" s="140">
        <f t="shared" si="7"/>
        <v>1.3351200000000001</v>
      </c>
      <c r="V14" s="136">
        <f>(40.41*M14^(-0.437)-0.047*(0.77*J14+12.4)+3.15)*Inputs!$I$6/1000*60</f>
        <v>2.2177861363399041</v>
      </c>
      <c r="W14" s="137">
        <f>(40.41*N14^(-0.437)-0.047*(0.77*K14+12.4)+3.15)*Inputs!$I$6/1000*60</f>
        <v>1.9299438534526638</v>
      </c>
      <c r="X14" s="140">
        <f>(40.41*O14^(-0.437)-0.047*(0.77*L14+12.4)+3.15)*Inputs!$I$6/1000*60</f>
        <v>1.6931249204212475</v>
      </c>
      <c r="Y14" s="136">
        <f>IF($J14&lt;Models!$A$7,Models!$C$7,IF($J14&lt;Models!$A$8,(Models!$C$7+(Advancement!$J14-Models!$A$7)/Models!$A$8*(Models!$C$8-Models!$C$7)),IF($J14&lt;Models!$A$9,(Models!$C$8+(Advancement!$J14-Models!$A$8)/Models!$A$9*(Models!$C$9-Models!$C$8)),IF($J14&lt;Models!$A$10,(Models!$C$9+(Advancement!$J14-Models!$A$9)/Models!$A$10*(Models!$C$10-Models!$C$9)),IF($J14&lt;Models!$A$11,(Models!$C$10+(Advancement!$J14-Models!$A$10)/Models!$A$11*(Models!$C$11-Models!$C$10)),IF($J14&lt;Models!$A$12,(Models!$C$11+(Advancement!$J14-Models!$A$11)/Models!$A$12*(Models!$C$12-Models!$C$11)),IF($J14&lt;Models!$A$13,(Models!$C$12+(Advancement!$J14-Models!$A$12)/Models!$A$13*(Models!$C$13-Models!$C$12)),IF($J14&lt;Models!$A$14,(Models!$C$13+(Advancement!$J14-Models!$A$13)/Models!$A$14*(Models!$C$14-Models!$C$13)),IF($J14&lt;Models!$A$15,(Models!$C$14+(Advancement!$J14-Models!$A$14)/Models!$A$15*(Models!$C$15-Models!$C$14)),Models!$C$15)))))))))</f>
        <v>1.42598</v>
      </c>
      <c r="Z14" s="137">
        <f>IF($K14&lt;Models!$A$7,Models!$C$7,IF($K14&lt;Models!$A$8,(Models!$C$7+(Advancement!$K14-Models!$A$7)/Models!$A$8*(Models!$C$8-Models!$C$7)),IF($K14&lt;Models!$A$9,(Models!$C$8+(Advancement!$K14-Models!$A$8)/Models!$A$9*(Models!$C$9-Models!$C$8)),IF($K14&lt;Models!$A$10,(Models!$C$9+(Advancement!$K14-Models!$A$9)/Models!$A$10*(Models!$C$10-Models!$C$9)),IF($K14&lt;Models!$A$11,(Models!$C$10+(Advancement!$K14-Models!$A$10)/Models!$A$11*(Models!$C$11-Models!$C$10)),IF($K14&lt;Models!$A$12,(Models!$C$11+(Advancement!$K14-Models!$A$11)/Models!$A$12*(Models!$C$12-Models!$C$11)),IF($K14&lt;Models!$A$13,(Models!$C$12+(Advancement!$K14-Models!$A$12)/Models!$A$13*(Models!$C$13-Models!$C$12)),IF($K14&lt;Models!$A$14,(Models!$C$13+(Advancement!$K14-Models!$A$13)/Models!$A$14*(Models!$C$14-Models!$C$13)),IF($K14&lt;Models!$A$15,(Models!$C$14+(Advancement!$K14-Models!$A$14)/Models!$A$15*(Models!$C$15-Models!$C$14)),Models!$C$15)))))))))</f>
        <v>1.3805500000000002</v>
      </c>
      <c r="AA14" s="140">
        <f>IF($L14&lt;Models!$A$7,Models!$C$7,IF($L14&lt;Models!$A$8,(Models!$C$7+(Advancement!$L14-Models!$A$7)/Models!$A$8*(Models!$C$8-Models!$C$7)),IF($L14&lt;Models!$A$9,(Models!$C$8+(Advancement!$L14-Models!$A$8)/Models!$A$9*(Models!$C$9-Models!$C$8)),IF($L14&lt;Models!$A$10,(Models!$C$9+(Advancement!$L14-Models!$A$9)/Models!$A$10*(Models!$C$10-Models!$C$9)),IF($L14&lt;Models!$A$11,(Models!$C$10+(Advancement!$L14-Models!$A$10)/Models!$A$11*(Models!$C$11-Models!$C$10)),IF($L14&lt;Models!$A$12,(Models!$C$11+(Advancement!$L14-Models!$A$11)/Models!$A$12*(Models!$C$12-Models!$C$11)),IF($L14&lt;Models!$A$13,(Models!$C$12+(Advancement!$L14-Models!$A$12)/Models!$A$13*(Models!$C$13-Models!$C$12)),IF($L14&lt;Models!$A$14,(Models!$C$13+(Advancement!$L14-Models!$A$13)/Models!$A$14*(Models!$C$14-Models!$C$13)),IF($L14&lt;Models!$A$15,(Models!$C$14+(Advancement!$L14-Models!$A$14)/Models!$A$15*(Models!$C$15-Models!$C$14)),Models!$C$15)))))))))</f>
        <v>1.3351200000000001</v>
      </c>
      <c r="AB14" s="136">
        <f>IF($J14&lt;Models!$A$7,Models!$D$7,IF($J14&lt;Models!$A$8,(Models!$D$7+(Advancement!$J14-Models!$A$7)/Models!$A$8*(Models!$D$8-Models!$D$7)),IF($J14&lt;Models!$A$9,(Models!$D$8+(Advancement!$J14-Models!$A$8)/Models!$A$9*(Models!$D$9-Models!$D$8)),IF($J14&lt;Models!$A$10,(Models!$D$9+(Advancement!$J14-Models!$A$9)/Models!$A$10*(Models!$D$10-Models!$D$9)),IF($J14&lt;Models!$A$11,(Models!$D$10+(Advancement!$J14-Models!$A$10)/Models!$A$11*(Models!$D$11-Models!$D$10)),IF($J14&lt;Models!$A$12,(Models!$D$11+(Advancement!$J14-Models!$A$11)/Models!$A$12*(Models!$D$12-Models!$D$11)),IF($J14&lt;Models!$A$13,(Models!$D$12+(Advancement!$J14-Models!$A$12)/Models!$A$13*(Models!$D$13-Models!$D$12)),IF($J14&lt;Models!$A$14,(Models!$D$13+(Advancement!$J14-Models!$A$13)/Models!$A$14*(Models!$D$14-Models!$D$13)),IF($J14&lt;Models!$A$15,(Models!$D$14+(Advancement!$J14-Models!$A$14)/Models!$A$15*(Models!$D$15-Models!$D$14)),Models!$D$15)))))))))</f>
        <v>1.4</v>
      </c>
      <c r="AC14" s="137">
        <f>IF($K14&lt;Models!$A$7,Models!$D$7,IF($K14&lt;Models!$A$8,(Models!$D$7+(Advancement!$K14-Models!$A$7)/Models!$A$8*(Models!$D$8-Models!$D$7)),IF($K14&lt;Models!$A$9,(Models!$D$8+(Advancement!$K14-Models!$A$8)/Models!$A$9*(Models!$D$9-Models!$D$8)),IF($K14&lt;Models!$A$10,(Models!$D$9+(Advancement!$K14-Models!$A$9)/Models!$A$10*(Models!$D$10-Models!$D$9)),IF($K14&lt;Models!$A$11,(Models!$D$10+(Advancement!$K14-Models!$A$10)/Models!$A$11*(Models!$D$11-Models!$D$10)),IF($K14&lt;Models!$A$12,(Models!$D$11+(Advancement!$K14-Models!$A$11)/Models!$A$12*(Models!$D$12-Models!$D$11)),IF($K14&lt;Models!$A$13,(Models!$D$12+(Advancement!$K14-Models!$A$12)/Models!$A$13*(Models!$D$13-Models!$D$12)),IF($K14&lt;Models!$A$14,(Models!$D$13+(Advancement!$K14-Models!$A$13)/Models!$A$14*(Models!$D$14-Models!$D$13)),IF($K14&lt;Models!$A$15,(Models!$D$14+(Advancement!$K14-Models!$A$14)/Models!$A$15*(Models!$D$15-Models!$D$14)),Models!$D$15)))))))))</f>
        <v>1.8</v>
      </c>
      <c r="AD14" s="140">
        <f>IF($L14&lt;Models!$A$7,Models!$D$7,IF($L14&lt;Models!$A$8,(Models!$D$7+(Advancement!$L14-Models!$A$7)/Models!$A$8*(Models!$D$8-Models!$D$7)),IF($L14&lt;Models!$A$9,(Models!$D$8+(Advancement!$L14-Models!$A$8)/Models!$A$9*(Models!$D$9-Models!$D$8)),IF($L14&lt;Models!$A$10,(Models!$D$9+(Advancement!$L14-Models!$A$9)/Models!$A$10*(Models!$D$10-Models!$D$9)),IF($L14&lt;Models!$A$11,(Models!$D$10+(Advancement!$L14-Models!$A$10)/Models!$A$11*(Models!$D$11-Models!$D$10)),IF($L14&lt;Models!$A$12,(Models!$D$11+(Advancement!$L14-Models!$A$11)/Models!$A$12*(Models!$D$12-Models!$D$11)),IF($L14&lt;Models!$A$13,(Models!$D$12+(Advancement!$L14-Models!$A$12)/Models!$A$13*(Models!$D$13-Models!$D$12)),IF($L14&lt;Models!$A$14,(Models!$D$13+(Advancement!$L14-Models!$A$13)/Models!$A$14*(Models!$D$14-Models!$D$13)),IF($L14&lt;Models!$A$15,(Models!$D$14+(Advancement!$L14-Models!$A$14)/Models!$A$15*(Models!$D$15-Models!$D$14)),Models!$D$15)))))))))</f>
        <v>2.1</v>
      </c>
      <c r="AE14" s="136">
        <f t="shared" si="8"/>
        <v>1.6639492272679806</v>
      </c>
      <c r="AF14" s="137">
        <f t="shared" si="9"/>
        <v>1.7382087706905331</v>
      </c>
      <c r="AG14" s="138">
        <f t="shared" si="10"/>
        <v>1.7126729840842496</v>
      </c>
      <c r="AH14" s="120">
        <f t="shared" si="2"/>
        <v>2.0327260506198964E-2</v>
      </c>
      <c r="AI14" s="120">
        <f t="shared" si="3"/>
        <v>1.9458841758304864E-2</v>
      </c>
      <c r="AJ14" s="120">
        <f t="shared" si="4"/>
        <v>1.9748971184858053E-2</v>
      </c>
    </row>
    <row r="15" spans="1:36" ht="12" thickBot="1" x14ac:dyDescent="0.3">
      <c r="A15" s="125">
        <v>30</v>
      </c>
      <c r="B15" s="126">
        <f t="shared" si="11"/>
        <v>52003.5</v>
      </c>
      <c r="C15" s="142">
        <f>52378-14.5</f>
        <v>52363.5</v>
      </c>
      <c r="D15" s="127">
        <f t="shared" si="0"/>
        <v>360</v>
      </c>
      <c r="E15" s="128" t="s">
        <v>17</v>
      </c>
      <c r="F15" s="129">
        <v>0</v>
      </c>
      <c r="G15" s="130">
        <v>0</v>
      </c>
      <c r="H15" s="130">
        <v>0.3</v>
      </c>
      <c r="I15" s="131">
        <v>0.7</v>
      </c>
      <c r="J15" s="132">
        <f>K15-Inputs!C16</f>
        <v>55</v>
      </c>
      <c r="K15" s="133">
        <f>Inputs!B16</f>
        <v>66</v>
      </c>
      <c r="L15" s="134">
        <f>K15+Inputs!C16</f>
        <v>77</v>
      </c>
      <c r="M15" s="132">
        <f>N15-Inputs!E16</f>
        <v>94</v>
      </c>
      <c r="N15" s="133">
        <f>Inputs!D16</f>
        <v>122</v>
      </c>
      <c r="O15" s="135">
        <f>N15+Inputs!E16</f>
        <v>150</v>
      </c>
      <c r="P15" s="136">
        <f>IF($J15&lt;Models!$A$7,Models!$B$7,IF($J15&lt;Models!$A$8,(Models!$B$7+(Advancement!$J15-Models!$A$7)/Models!$A$8*(Models!$B$8-Models!$B$7)),IF($J15&lt;Models!$A$9,(Models!$B$8+(Advancement!$J15-Models!$A$8)/Models!$A$9*(Models!$B$9-Models!$B$8)),IF($J15&lt;Models!$A$10,(Models!$B$9+(Advancement!$J15-Models!$A$9)/Models!$A$10*(Models!$B$10-Models!$B$9)),IF($J15&lt;Models!$A$11,(Models!$B$10+(Advancement!$J15-Models!$A$10)/Models!$A$11*(Models!$B$11-Models!$B$10)),IF($J15&lt;Models!$A$12,(Models!$B$11+(Advancement!$J15-Models!$A$11)/Models!$A$12*(Models!$B$12-Models!$B$11)),IF($J15&lt;Models!$A$13,(Models!$B$12+(Advancement!$J15-Models!$A$12)/Models!$A$13*(Models!$B$13-Models!$B$12)),IF($J15&lt;Models!$A$14,(Models!$B$13+(Advancement!$J15-Models!$A$13)/Models!$A$14*(Models!$B$14-Models!$B$13)),IF($J15&lt;Models!$A$15,(Models!$B$14+(Advancement!$J15-Models!$A$14)/Models!$A$15*(Models!$B$15-Models!$B$14)),Models!$B$15)))))))))</f>
        <v>1.9833333333333334</v>
      </c>
      <c r="Q15" s="137">
        <f>IF($K15&lt;Models!$A$7,Models!$B$7,IF($K15&lt;Models!$A$8,(Models!$B$7+(Advancement!$K15-Models!$A$7)/Models!$A$8*(Models!$B$8-Models!$B$7)),IF($K15&lt;Models!$A$9,(Models!$B$8+(Advancement!$K15-Models!$A$8)/Models!$A$9*(Models!$B$9-Models!$B$8)),IF($K15&lt;Models!$A$10,(Models!$B$9+(Advancement!$K15-Models!$A$9)/Models!$A$10*(Models!$B$10-Models!$B$9)),IF($K15&lt;Models!$A$11,(Models!$B$10+(Advancement!$K15-Models!$A$10)/Models!$A$11*(Models!$B$11-Models!$B$10)),IF($K15&lt;Models!$A$12,(Models!$B$11+(Advancement!$K15-Models!$A$11)/Models!$A$12*(Models!$B$12-Models!$B$11)),IF($K15&lt;Models!$A$13,(Models!$B$12+(Advancement!$K15-Models!$A$12)/Models!$A$13*(Models!$B$13-Models!$B$12)),IF($K15&lt;Models!$A$14,(Models!$B$13+(Advancement!$K15-Models!$A$13)/Models!$A$14*(Models!$B$14-Models!$B$13)),IF($K15&lt;Models!$A$15,(Models!$B$14+(Advancement!$K15-Models!$A$14)/Models!$A$15*(Models!$B$15-Models!$B$14)),Models!$B$15)))))))))</f>
        <v>1.7828571428571429</v>
      </c>
      <c r="R15" s="138">
        <f>IF($L15&lt;Models!$A$7,Models!$B$7,IF($L15&lt;Models!$A$8,(Models!$B$7+(Advancement!$L15-Models!$A$7)/Models!$A$8*(Models!$B$8-Models!$B$7)),IF($L15&lt;Models!$A$9,(Models!$B$8+(Advancement!$L15-Models!$A$8)/Models!$A$9*(Models!$B$9-Models!$B$8)),IF($L15&lt;Models!$A$10,(Models!$B$9+(Advancement!$L15-Models!$A$9)/Models!$A$10*(Models!$B$10-Models!$B$9)),IF($L15&lt;Models!$A$11,(Models!$B$10+(Advancement!$L15-Models!$A$10)/Models!$A$11*(Models!$B$11-Models!$B$10)),IF($L15&lt;Models!$A$12,(Models!$B$11+(Advancement!$L15-Models!$A$11)/Models!$A$12*(Models!$B$12-Models!$B$11)),IF($L15&lt;Models!$A$13,(Models!$B$12+(Advancement!$L15-Models!$A$12)/Models!$A$13*(Models!$B$13-Models!$B$12)),IF($L15&lt;Models!$A$14,(Models!$B$13+(Advancement!$L15-Models!$A$13)/Models!$A$14*(Models!$B$14-Models!$B$13)),IF($L15&lt;Models!$A$15,(Models!$B$14+(Advancement!$L15-Models!$A$14)/Models!$A$15*(Models!$B$15-Models!$B$14)),Models!$B$15)))))))))</f>
        <v>1.6</v>
      </c>
      <c r="S15" s="139">
        <f t="shared" si="5"/>
        <v>1.266975</v>
      </c>
      <c r="T15" s="137">
        <f t="shared" si="6"/>
        <v>1.2170020000000001</v>
      </c>
      <c r="U15" s="140">
        <f t="shared" si="7"/>
        <v>1.1670290000000001</v>
      </c>
      <c r="V15" s="136">
        <f>(40.41*M15^(-0.437)-0.047*(0.77*J15+12.4)+3.15)*Inputs!$I$6/1000*60</f>
        <v>1.8377911363399044</v>
      </c>
      <c r="W15" s="137">
        <f>(40.41*N15^(-0.437)-0.047*(0.77*K15+12.4)+3.15)*Inputs!$I$6/1000*60</f>
        <v>1.5390918534526636</v>
      </c>
      <c r="X15" s="140">
        <f>(40.41*O15^(-0.437)-0.047*(0.77*L15+12.4)+3.15)*Inputs!$I$6/1000*60</f>
        <v>1.2914159204212474</v>
      </c>
      <c r="Y15" s="136">
        <f>IF($J15&lt;Models!$A$7,Models!$C$7,IF($J15&lt;Models!$A$8,(Models!$C$7+(Advancement!$J15-Models!$A$7)/Models!$A$8*(Models!$C$8-Models!$C$7)),IF($J15&lt;Models!$A$9,(Models!$C$8+(Advancement!$J15-Models!$A$8)/Models!$A$9*(Models!$C$9-Models!$C$8)),IF($J15&lt;Models!$A$10,(Models!$C$9+(Advancement!$J15-Models!$A$9)/Models!$A$10*(Models!$C$10-Models!$C$9)),IF($J15&lt;Models!$A$11,(Models!$C$10+(Advancement!$J15-Models!$A$10)/Models!$A$11*(Models!$C$11-Models!$C$10)),IF($J15&lt;Models!$A$12,(Models!$C$11+(Advancement!$J15-Models!$A$11)/Models!$A$12*(Models!$C$12-Models!$C$11)),IF($J15&lt;Models!$A$13,(Models!$C$12+(Advancement!$J15-Models!$A$12)/Models!$A$13*(Models!$C$13-Models!$C$12)),IF($J15&lt;Models!$A$14,(Models!$C$13+(Advancement!$J15-Models!$A$13)/Models!$A$14*(Models!$C$14-Models!$C$13)),IF($J15&lt;Models!$A$15,(Models!$C$14+(Advancement!$J15-Models!$A$14)/Models!$A$15*(Models!$C$15-Models!$C$14)),Models!$C$15)))))))))</f>
        <v>1.2859041666666668</v>
      </c>
      <c r="Z15" s="137">
        <f>IF($K15&lt;Models!$A$7,Models!$C$7,IF($K15&lt;Models!$A$8,(Models!$C$7+(Advancement!$K15-Models!$A$7)/Models!$A$8*(Models!$C$8-Models!$C$7)),IF($K15&lt;Models!$A$9,(Models!$C$8+(Advancement!$K15-Models!$A$8)/Models!$A$9*(Models!$C$9-Models!$C$8)),IF($K15&lt;Models!$A$10,(Models!$C$9+(Advancement!$K15-Models!$A$9)/Models!$A$10*(Models!$C$10-Models!$C$9)),IF($K15&lt;Models!$A$11,(Models!$C$10+(Advancement!$K15-Models!$A$10)/Models!$A$11*(Models!$C$11-Models!$C$10)),IF($K15&lt;Models!$A$12,(Models!$C$11+(Advancement!$K15-Models!$A$11)/Models!$A$12*(Models!$C$12-Models!$C$11)),IF($K15&lt;Models!$A$13,(Models!$C$12+(Advancement!$K15-Models!$A$12)/Models!$A$13*(Models!$C$13-Models!$C$12)),IF($K15&lt;Models!$A$14,(Models!$C$13+(Advancement!$K15-Models!$A$13)/Models!$A$14*(Models!$C$14-Models!$C$13)),IF($K15&lt;Models!$A$15,(Models!$C$14+(Advancement!$K15-Models!$A$14)/Models!$A$15*(Models!$C$15-Models!$C$14)),Models!$C$15)))))))))</f>
        <v>1.2403660000000001</v>
      </c>
      <c r="AA15" s="140">
        <f>IF($L15&lt;Models!$A$7,Models!$C$7,IF($L15&lt;Models!$A$8,(Models!$C$7+(Advancement!$L15-Models!$A$7)/Models!$A$8*(Models!$C$8-Models!$C$7)),IF($L15&lt;Models!$A$9,(Models!$C$8+(Advancement!$L15-Models!$A$8)/Models!$A$9*(Models!$C$9-Models!$C$8)),IF($L15&lt;Models!$A$10,(Models!$C$9+(Advancement!$L15-Models!$A$9)/Models!$A$10*(Models!$C$10-Models!$C$9)),IF($L15&lt;Models!$A$11,(Models!$C$10+(Advancement!$L15-Models!$A$10)/Models!$A$11*(Models!$C$11-Models!$C$10)),IF($L15&lt;Models!$A$12,(Models!$C$11+(Advancement!$L15-Models!$A$11)/Models!$A$12*(Models!$C$12-Models!$C$11)),IF($L15&lt;Models!$A$13,(Models!$C$12+(Advancement!$L15-Models!$A$12)/Models!$A$13*(Models!$C$13-Models!$C$12)),IF($L15&lt;Models!$A$14,(Models!$C$13+(Advancement!$L15-Models!$A$13)/Models!$A$14*(Models!$C$14-Models!$C$13)),IF($L15&lt;Models!$A$15,(Models!$C$14+(Advancement!$L15-Models!$A$14)/Models!$A$15*(Models!$C$15-Models!$C$14)),Models!$C$15)))))))))</f>
        <v>1.1948548750000001</v>
      </c>
      <c r="AB15" s="136">
        <f>IF($J15&lt;Models!$A$7,Models!$D$7,IF($J15&lt;Models!$A$8,(Models!$D$7+(Advancement!$J15-Models!$A$7)/Models!$A$8*(Models!$D$8-Models!$D$7)),IF($J15&lt;Models!$A$9,(Models!$D$8+(Advancement!$J15-Models!$A$8)/Models!$A$9*(Models!$D$9-Models!$D$8)),IF($J15&lt;Models!$A$10,(Models!$D$9+(Advancement!$J15-Models!$A$9)/Models!$A$10*(Models!$D$10-Models!$D$9)),IF($J15&lt;Models!$A$11,(Models!$D$10+(Advancement!$J15-Models!$A$10)/Models!$A$11*(Models!$D$11-Models!$D$10)),IF($J15&lt;Models!$A$12,(Models!$D$11+(Advancement!$J15-Models!$A$11)/Models!$A$12*(Models!$D$12-Models!$D$11)),IF($J15&lt;Models!$A$13,(Models!$D$12+(Advancement!$J15-Models!$A$12)/Models!$A$13*(Models!$D$13-Models!$D$12)),IF($J15&lt;Models!$A$14,(Models!$D$13+(Advancement!$J15-Models!$A$13)/Models!$A$14*(Models!$D$14-Models!$D$13)),IF($J15&lt;Models!$A$15,(Models!$D$14+(Advancement!$J15-Models!$A$14)/Models!$A$15*(Models!$D$15-Models!$D$14)),Models!$D$15)))))))))</f>
        <v>2.2999999999999998</v>
      </c>
      <c r="AC15" s="137">
        <f>IF($K15&lt;Models!$A$7,Models!$D$7,IF($K15&lt;Models!$A$8,(Models!$D$7+(Advancement!$K15-Models!$A$7)/Models!$A$8*(Models!$D$8-Models!$D$7)),IF($K15&lt;Models!$A$9,(Models!$D$8+(Advancement!$K15-Models!$A$8)/Models!$A$9*(Models!$D$9-Models!$D$8)),IF($K15&lt;Models!$A$10,(Models!$D$9+(Advancement!$K15-Models!$A$9)/Models!$A$10*(Models!$D$10-Models!$D$9)),IF($K15&lt;Models!$A$11,(Models!$D$10+(Advancement!$K15-Models!$A$10)/Models!$A$11*(Models!$D$11-Models!$D$10)),IF($K15&lt;Models!$A$12,(Models!$D$11+(Advancement!$K15-Models!$A$11)/Models!$A$12*(Models!$D$12-Models!$D$11)),IF($K15&lt;Models!$A$13,(Models!$D$12+(Advancement!$K15-Models!$A$12)/Models!$A$13*(Models!$D$13-Models!$D$12)),IF($K15&lt;Models!$A$14,(Models!$D$13+(Advancement!$K15-Models!$A$13)/Models!$A$14*(Models!$D$14-Models!$D$13)),IF($K15&lt;Models!$A$15,(Models!$D$14+(Advancement!$K15-Models!$A$14)/Models!$A$15*(Models!$D$15-Models!$D$14)),Models!$D$15)))))))))</f>
        <v>2.2914285714285714</v>
      </c>
      <c r="AD15" s="140">
        <f>IF($L15&lt;Models!$A$7,Models!$D$7,IF($L15&lt;Models!$A$8,(Models!$D$7+(Advancement!$L15-Models!$A$7)/Models!$A$8*(Models!$D$8-Models!$D$7)),IF($L15&lt;Models!$A$9,(Models!$D$8+(Advancement!$L15-Models!$A$8)/Models!$A$9*(Models!$D$9-Models!$D$8)),IF($L15&lt;Models!$A$10,(Models!$D$9+(Advancement!$L15-Models!$A$9)/Models!$A$10*(Models!$D$10-Models!$D$9)),IF($L15&lt;Models!$A$11,(Models!$D$10+(Advancement!$L15-Models!$A$10)/Models!$A$11*(Models!$D$11-Models!$D$10)),IF($L15&lt;Models!$A$12,(Models!$D$11+(Advancement!$L15-Models!$A$11)/Models!$A$12*(Models!$D$12-Models!$D$11)),IF($L15&lt;Models!$A$13,(Models!$D$12+(Advancement!$L15-Models!$A$12)/Models!$A$13*(Models!$D$13-Models!$D$12)),IF($L15&lt;Models!$A$14,(Models!$D$13+(Advancement!$L15-Models!$A$13)/Models!$A$14*(Models!$D$14-Models!$D$13)),IF($L15&lt;Models!$A$15,(Models!$D$14+(Advancement!$L15-Models!$A$14)/Models!$A$15*(Models!$D$15-Models!$D$14)),Models!$D$15)))))))))</f>
        <v>2.165</v>
      </c>
      <c r="AE15" s="136">
        <f t="shared" si="8"/>
        <v>1.7348007272679808</v>
      </c>
      <c r="AF15" s="137">
        <f t="shared" si="9"/>
        <v>1.6141491135476755</v>
      </c>
      <c r="AG15" s="138">
        <f t="shared" si="10"/>
        <v>1.4836599590842494</v>
      </c>
      <c r="AH15" s="120">
        <f t="shared" si="2"/>
        <v>0.30517151415979449</v>
      </c>
      <c r="AI15" s="120">
        <f t="shared" si="3"/>
        <v>0.32798194433369843</v>
      </c>
      <c r="AJ15" s="120">
        <f t="shared" si="4"/>
        <v>0.35682823511166806</v>
      </c>
    </row>
    <row r="16" spans="1:36" ht="12" thickBot="1" x14ac:dyDescent="0.3">
      <c r="A16" s="141" t="s">
        <v>72</v>
      </c>
      <c r="B16" s="126">
        <f t="shared" si="11"/>
        <v>52363.5</v>
      </c>
      <c r="C16" s="142">
        <f>B16+29</f>
        <v>52392.5</v>
      </c>
      <c r="D16" s="127">
        <f t="shared" si="0"/>
        <v>29</v>
      </c>
      <c r="E16" s="143" t="s">
        <v>72</v>
      </c>
      <c r="F16" s="129">
        <v>0</v>
      </c>
      <c r="G16" s="130">
        <v>1</v>
      </c>
      <c r="H16" s="130">
        <v>0</v>
      </c>
      <c r="I16" s="131">
        <v>0</v>
      </c>
      <c r="J16" s="132">
        <f>K16-Inputs!C17</f>
        <v>20</v>
      </c>
      <c r="K16" s="133">
        <f>Inputs!B17</f>
        <v>30</v>
      </c>
      <c r="L16" s="134">
        <f>K16+Inputs!C17</f>
        <v>40</v>
      </c>
      <c r="M16" s="132">
        <f>N16-Inputs!E17</f>
        <v>94</v>
      </c>
      <c r="N16" s="133">
        <f>Inputs!D17</f>
        <v>122</v>
      </c>
      <c r="O16" s="135">
        <f>N16+Inputs!E17</f>
        <v>150</v>
      </c>
      <c r="P16" s="136">
        <f>IF($J16&lt;Models!$A$7,Models!$B$7,IF($J16&lt;Models!$A$8,(Models!$B$7+(Advancement!$J16-Models!$A$7)/Models!$A$8*(Models!$B$8-Models!$B$7)),IF($J16&lt;Models!$A$9,(Models!$B$8+(Advancement!$J16-Models!$A$8)/Models!$A$9*(Models!$B$9-Models!$B$8)),IF($J16&lt;Models!$A$10,(Models!$B$9+(Advancement!$J16-Models!$A$9)/Models!$A$10*(Models!$B$10-Models!$B$9)),IF($J16&lt;Models!$A$11,(Models!$B$10+(Advancement!$J16-Models!$A$10)/Models!$A$11*(Models!$B$11-Models!$B$10)),IF($J16&lt;Models!$A$12,(Models!$B$11+(Advancement!$J16-Models!$A$11)/Models!$A$12*(Models!$B$12-Models!$B$11)),IF($J16&lt;Models!$A$13,(Models!$B$12+(Advancement!$J16-Models!$A$12)/Models!$A$13*(Models!$B$13-Models!$B$12)),IF($J16&lt;Models!$A$14,(Models!$B$13+(Advancement!$J16-Models!$A$13)/Models!$A$14*(Models!$B$14-Models!$B$13)),IF($J16&lt;Models!$A$15,(Models!$B$14+(Advancement!$J16-Models!$A$14)/Models!$A$15*(Models!$B$15-Models!$B$14)),Models!$B$15)))))))))</f>
        <v>1.85</v>
      </c>
      <c r="Q16" s="137">
        <f>IF($K16&lt;Models!$A$7,Models!$B$7,IF($K16&lt;Models!$A$8,(Models!$B$7+(Advancement!$K16-Models!$A$7)/Models!$A$8*(Models!$B$8-Models!$B$7)),IF($K16&lt;Models!$A$9,(Models!$B$8+(Advancement!$K16-Models!$A$8)/Models!$A$9*(Models!$B$9-Models!$B$8)),IF($K16&lt;Models!$A$10,(Models!$B$9+(Advancement!$K16-Models!$A$9)/Models!$A$10*(Models!$B$10-Models!$B$9)),IF($K16&lt;Models!$A$11,(Models!$B$10+(Advancement!$K16-Models!$A$10)/Models!$A$11*(Models!$B$11-Models!$B$10)),IF($K16&lt;Models!$A$12,(Models!$B$11+(Advancement!$K16-Models!$A$11)/Models!$A$12*(Models!$B$12-Models!$B$11)),IF($K16&lt;Models!$A$13,(Models!$B$12+(Advancement!$K16-Models!$A$12)/Models!$A$13*(Models!$B$13-Models!$B$12)),IF($K16&lt;Models!$A$14,(Models!$B$13+(Advancement!$K16-Models!$A$13)/Models!$A$14*(Models!$B$14-Models!$B$13)),IF($K16&lt;Models!$A$15,(Models!$B$14+(Advancement!$K16-Models!$A$14)/Models!$A$15*(Models!$B$15-Models!$B$14)),Models!$B$15)))))))))</f>
        <v>2.2000000000000002</v>
      </c>
      <c r="R16" s="138">
        <f>IF($L16&lt;Models!$A$7,Models!$B$7,IF($L16&lt;Models!$A$8,(Models!$B$7+(Advancement!$L16-Models!$A$7)/Models!$A$8*(Models!$B$8-Models!$B$7)),IF($L16&lt;Models!$A$9,(Models!$B$8+(Advancement!$L16-Models!$A$8)/Models!$A$9*(Models!$B$9-Models!$B$8)),IF($L16&lt;Models!$A$10,(Models!$B$9+(Advancement!$L16-Models!$A$9)/Models!$A$10*(Models!$B$10-Models!$B$9)),IF($L16&lt;Models!$A$11,(Models!$B$10+(Advancement!$L16-Models!$A$10)/Models!$A$11*(Models!$B$11-Models!$B$10)),IF($L16&lt;Models!$A$12,(Models!$B$11+(Advancement!$L16-Models!$A$11)/Models!$A$12*(Models!$B$12-Models!$B$11)),IF($L16&lt;Models!$A$13,(Models!$B$12+(Advancement!$L16-Models!$A$12)/Models!$A$13*(Models!$B$13-Models!$B$12)),IF($L16&lt;Models!$A$14,(Models!$B$13+(Advancement!$L16-Models!$A$13)/Models!$A$14*(Models!$B$14-Models!$B$13)),IF($L16&lt;Models!$A$15,(Models!$B$14+(Advancement!$L16-Models!$A$14)/Models!$A$15*(Models!$B$15-Models!$B$14)),Models!$B$15)))))))))</f>
        <v>2.1</v>
      </c>
      <c r="S16" s="139">
        <f t="shared" si="5"/>
        <v>1.42598</v>
      </c>
      <c r="T16" s="137">
        <f t="shared" si="6"/>
        <v>1.3805500000000002</v>
      </c>
      <c r="U16" s="140">
        <f t="shared" si="7"/>
        <v>1.3351200000000001</v>
      </c>
      <c r="V16" s="136">
        <f>(40.41*M16^(-0.437)-0.047*(0.77*J16+12.4)+3.15)*Inputs!$I$6/1000*60</f>
        <v>2.2177861363399041</v>
      </c>
      <c r="W16" s="137">
        <f>(40.41*N16^(-0.437)-0.047*(0.77*K16+12.4)+3.15)*Inputs!$I$6/1000*60</f>
        <v>1.9299438534526638</v>
      </c>
      <c r="X16" s="140">
        <f>(40.41*O16^(-0.437)-0.047*(0.77*L16+12.4)+3.15)*Inputs!$I$6/1000*60</f>
        <v>1.6931249204212475</v>
      </c>
      <c r="Y16" s="136">
        <f>IF($J16&lt;Models!$A$7,Models!$C$7,IF($J16&lt;Models!$A$8,(Models!$C$7+(Advancement!$J16-Models!$A$7)/Models!$A$8*(Models!$C$8-Models!$C$7)),IF($J16&lt;Models!$A$9,(Models!$C$8+(Advancement!$J16-Models!$A$8)/Models!$A$9*(Models!$C$9-Models!$C$8)),IF($J16&lt;Models!$A$10,(Models!$C$9+(Advancement!$J16-Models!$A$9)/Models!$A$10*(Models!$C$10-Models!$C$9)),IF($J16&lt;Models!$A$11,(Models!$C$10+(Advancement!$J16-Models!$A$10)/Models!$A$11*(Models!$C$11-Models!$C$10)),IF($J16&lt;Models!$A$12,(Models!$C$11+(Advancement!$J16-Models!$A$11)/Models!$A$12*(Models!$C$12-Models!$C$11)),IF($J16&lt;Models!$A$13,(Models!$C$12+(Advancement!$J16-Models!$A$12)/Models!$A$13*(Models!$C$13-Models!$C$12)),IF($J16&lt;Models!$A$14,(Models!$C$13+(Advancement!$J16-Models!$A$13)/Models!$A$14*(Models!$C$14-Models!$C$13)),IF($J16&lt;Models!$A$15,(Models!$C$14+(Advancement!$J16-Models!$A$14)/Models!$A$15*(Models!$C$15-Models!$C$14)),Models!$C$15)))))))))</f>
        <v>1.42598</v>
      </c>
      <c r="Z16" s="137">
        <f>IF($K16&lt;Models!$A$7,Models!$C$7,IF($K16&lt;Models!$A$8,(Models!$C$7+(Advancement!$K16-Models!$A$7)/Models!$A$8*(Models!$C$8-Models!$C$7)),IF($K16&lt;Models!$A$9,(Models!$C$8+(Advancement!$K16-Models!$A$8)/Models!$A$9*(Models!$C$9-Models!$C$8)),IF($K16&lt;Models!$A$10,(Models!$C$9+(Advancement!$K16-Models!$A$9)/Models!$A$10*(Models!$C$10-Models!$C$9)),IF($K16&lt;Models!$A$11,(Models!$C$10+(Advancement!$K16-Models!$A$10)/Models!$A$11*(Models!$C$11-Models!$C$10)),IF($K16&lt;Models!$A$12,(Models!$C$11+(Advancement!$K16-Models!$A$11)/Models!$A$12*(Models!$C$12-Models!$C$11)),IF($K16&lt;Models!$A$13,(Models!$C$12+(Advancement!$K16-Models!$A$12)/Models!$A$13*(Models!$C$13-Models!$C$12)),IF($K16&lt;Models!$A$14,(Models!$C$13+(Advancement!$K16-Models!$A$13)/Models!$A$14*(Models!$C$14-Models!$C$13)),IF($K16&lt;Models!$A$15,(Models!$C$14+(Advancement!$K16-Models!$A$14)/Models!$A$15*(Models!$C$15-Models!$C$14)),Models!$C$15)))))))))</f>
        <v>1.3805500000000002</v>
      </c>
      <c r="AA16" s="140">
        <f>IF($L16&lt;Models!$A$7,Models!$C$7,IF($L16&lt;Models!$A$8,(Models!$C$7+(Advancement!$L16-Models!$A$7)/Models!$A$8*(Models!$C$8-Models!$C$7)),IF($L16&lt;Models!$A$9,(Models!$C$8+(Advancement!$L16-Models!$A$8)/Models!$A$9*(Models!$C$9-Models!$C$8)),IF($L16&lt;Models!$A$10,(Models!$C$9+(Advancement!$L16-Models!$A$9)/Models!$A$10*(Models!$C$10-Models!$C$9)),IF($L16&lt;Models!$A$11,(Models!$C$10+(Advancement!$L16-Models!$A$10)/Models!$A$11*(Models!$C$11-Models!$C$10)),IF($L16&lt;Models!$A$12,(Models!$C$11+(Advancement!$L16-Models!$A$11)/Models!$A$12*(Models!$C$12-Models!$C$11)),IF($L16&lt;Models!$A$13,(Models!$C$12+(Advancement!$L16-Models!$A$12)/Models!$A$13*(Models!$C$13-Models!$C$12)),IF($L16&lt;Models!$A$14,(Models!$C$13+(Advancement!$L16-Models!$A$13)/Models!$A$14*(Models!$C$14-Models!$C$13)),IF($L16&lt;Models!$A$15,(Models!$C$14+(Advancement!$L16-Models!$A$14)/Models!$A$15*(Models!$C$15-Models!$C$14)),Models!$C$15)))))))))</f>
        <v>1.3351200000000001</v>
      </c>
      <c r="AB16" s="136">
        <f>IF($J16&lt;Models!$A$7,Models!$D$7,IF($J16&lt;Models!$A$8,(Models!$D$7+(Advancement!$J16-Models!$A$7)/Models!$A$8*(Models!$D$8-Models!$D$7)),IF($J16&lt;Models!$A$9,(Models!$D$8+(Advancement!$J16-Models!$A$8)/Models!$A$9*(Models!$D$9-Models!$D$8)),IF($J16&lt;Models!$A$10,(Models!$D$9+(Advancement!$J16-Models!$A$9)/Models!$A$10*(Models!$D$10-Models!$D$9)),IF($J16&lt;Models!$A$11,(Models!$D$10+(Advancement!$J16-Models!$A$10)/Models!$A$11*(Models!$D$11-Models!$D$10)),IF($J16&lt;Models!$A$12,(Models!$D$11+(Advancement!$J16-Models!$A$11)/Models!$A$12*(Models!$D$12-Models!$D$11)),IF($J16&lt;Models!$A$13,(Models!$D$12+(Advancement!$J16-Models!$A$12)/Models!$A$13*(Models!$D$13-Models!$D$12)),IF($J16&lt;Models!$A$14,(Models!$D$13+(Advancement!$J16-Models!$A$13)/Models!$A$14*(Models!$D$14-Models!$D$13)),IF($J16&lt;Models!$A$15,(Models!$D$14+(Advancement!$J16-Models!$A$14)/Models!$A$15*(Models!$D$15-Models!$D$14)),Models!$D$15)))))))))</f>
        <v>1.4</v>
      </c>
      <c r="AC16" s="137">
        <f>IF($K16&lt;Models!$A$7,Models!$D$7,IF($K16&lt;Models!$A$8,(Models!$D$7+(Advancement!$K16-Models!$A$7)/Models!$A$8*(Models!$D$8-Models!$D$7)),IF($K16&lt;Models!$A$9,(Models!$D$8+(Advancement!$K16-Models!$A$8)/Models!$A$9*(Models!$D$9-Models!$D$8)),IF($K16&lt;Models!$A$10,(Models!$D$9+(Advancement!$K16-Models!$A$9)/Models!$A$10*(Models!$D$10-Models!$D$9)),IF($K16&lt;Models!$A$11,(Models!$D$10+(Advancement!$K16-Models!$A$10)/Models!$A$11*(Models!$D$11-Models!$D$10)),IF($K16&lt;Models!$A$12,(Models!$D$11+(Advancement!$K16-Models!$A$11)/Models!$A$12*(Models!$D$12-Models!$D$11)),IF($K16&lt;Models!$A$13,(Models!$D$12+(Advancement!$K16-Models!$A$12)/Models!$A$13*(Models!$D$13-Models!$D$12)),IF($K16&lt;Models!$A$14,(Models!$D$13+(Advancement!$K16-Models!$A$13)/Models!$A$14*(Models!$D$14-Models!$D$13)),IF($K16&lt;Models!$A$15,(Models!$D$14+(Advancement!$K16-Models!$A$14)/Models!$A$15*(Models!$D$15-Models!$D$14)),Models!$D$15)))))))))</f>
        <v>1.8</v>
      </c>
      <c r="AD16" s="140">
        <f>IF($L16&lt;Models!$A$7,Models!$D$7,IF($L16&lt;Models!$A$8,(Models!$D$7+(Advancement!$L16-Models!$A$7)/Models!$A$8*(Models!$D$8-Models!$D$7)),IF($L16&lt;Models!$A$9,(Models!$D$8+(Advancement!$L16-Models!$A$8)/Models!$A$9*(Models!$D$9-Models!$D$8)),IF($L16&lt;Models!$A$10,(Models!$D$9+(Advancement!$L16-Models!$A$9)/Models!$A$10*(Models!$D$10-Models!$D$9)),IF($L16&lt;Models!$A$11,(Models!$D$10+(Advancement!$L16-Models!$A$10)/Models!$A$11*(Models!$D$11-Models!$D$10)),IF($L16&lt;Models!$A$12,(Models!$D$11+(Advancement!$L16-Models!$A$11)/Models!$A$12*(Models!$D$12-Models!$D$11)),IF($L16&lt;Models!$A$13,(Models!$D$12+(Advancement!$L16-Models!$A$12)/Models!$A$13*(Models!$D$13-Models!$D$12)),IF($L16&lt;Models!$A$14,(Models!$D$13+(Advancement!$L16-Models!$A$13)/Models!$A$14*(Models!$D$14-Models!$D$13)),IF($L16&lt;Models!$A$15,(Models!$D$14+(Advancement!$L16-Models!$A$14)/Models!$A$15*(Models!$D$15-Models!$D$14)),Models!$D$15)))))))))</f>
        <v>2.1</v>
      </c>
      <c r="AE16" s="136">
        <f t="shared" si="8"/>
        <v>1.6639492272679806</v>
      </c>
      <c r="AF16" s="137">
        <f t="shared" si="9"/>
        <v>1.7382087706905331</v>
      </c>
      <c r="AG16" s="138">
        <f t="shared" si="10"/>
        <v>1.7126729840842496</v>
      </c>
      <c r="AH16" s="120">
        <f t="shared" si="2"/>
        <v>2.5630024116511736E-2</v>
      </c>
      <c r="AI16" s="120">
        <f t="shared" si="3"/>
        <v>2.4535061347427868E-2</v>
      </c>
      <c r="AJ16" s="120">
        <f t="shared" si="4"/>
        <v>2.4900876711342768E-2</v>
      </c>
    </row>
    <row r="17" spans="1:36" ht="12" thickBot="1" x14ac:dyDescent="0.3">
      <c r="A17" s="125">
        <v>31</v>
      </c>
      <c r="B17" s="126">
        <f>C16</f>
        <v>52392.5</v>
      </c>
      <c r="C17" s="142">
        <f>52501-10.5</f>
        <v>52490.5</v>
      </c>
      <c r="D17" s="127">
        <f t="shared" si="0"/>
        <v>98</v>
      </c>
      <c r="E17" s="143" t="s">
        <v>18</v>
      </c>
      <c r="F17" s="144">
        <v>0</v>
      </c>
      <c r="G17" s="145">
        <v>0</v>
      </c>
      <c r="H17" s="145">
        <v>0.5</v>
      </c>
      <c r="I17" s="146">
        <v>0.5</v>
      </c>
      <c r="J17" s="132">
        <f>K17-Inputs!C18</f>
        <v>50</v>
      </c>
      <c r="K17" s="133">
        <f>Inputs!B18</f>
        <v>60</v>
      </c>
      <c r="L17" s="134">
        <f>K17+Inputs!C18</f>
        <v>70</v>
      </c>
      <c r="M17" s="132">
        <f>N17-Inputs!E18</f>
        <v>96</v>
      </c>
      <c r="N17" s="133">
        <f>Inputs!D18</f>
        <v>115</v>
      </c>
      <c r="O17" s="135">
        <f>N17+Inputs!E18</f>
        <v>134</v>
      </c>
      <c r="P17" s="136">
        <f>IF($J17&lt;Models!$A$7,Models!$B$7,IF($J17&lt;Models!$A$8,(Models!$B$7+(Advancement!$J17-Models!$A$7)/Models!$A$8*(Models!$B$8-Models!$B$7)),IF($J17&lt;Models!$A$9,(Models!$B$8+(Advancement!$J17-Models!$A$8)/Models!$A$9*(Models!$B$9-Models!$B$8)),IF($J17&lt;Models!$A$10,(Models!$B$9+(Advancement!$J17-Models!$A$9)/Models!$A$10*(Models!$B$10-Models!$B$9)),IF($J17&lt;Models!$A$11,(Models!$B$10+(Advancement!$J17-Models!$A$10)/Models!$A$11*(Models!$B$11-Models!$B$10)),IF($J17&lt;Models!$A$12,(Models!$B$11+(Advancement!$J17-Models!$A$11)/Models!$A$12*(Models!$B$12-Models!$B$11)),IF($J17&lt;Models!$A$13,(Models!$B$12+(Advancement!$J17-Models!$A$12)/Models!$A$13*(Models!$B$13-Models!$B$12)),IF($J17&lt;Models!$A$14,(Models!$B$13+(Advancement!$J17-Models!$A$13)/Models!$A$14*(Models!$B$14-Models!$B$13)),IF($J17&lt;Models!$A$15,(Models!$B$14+(Advancement!$J17-Models!$A$14)/Models!$A$15*(Models!$B$15-Models!$B$14)),Models!$B$15)))))))))</f>
        <v>2</v>
      </c>
      <c r="Q17" s="137">
        <f>IF($K17&lt;Models!$A$7,Models!$B$7,IF($K17&lt;Models!$A$8,(Models!$B$7+(Advancement!$K17-Models!$A$7)/Models!$A$8*(Models!$B$8-Models!$B$7)),IF($K17&lt;Models!$A$9,(Models!$B$8+(Advancement!$K17-Models!$A$8)/Models!$A$9*(Models!$B$9-Models!$B$8)),IF($K17&lt;Models!$A$10,(Models!$B$9+(Advancement!$K17-Models!$A$9)/Models!$A$10*(Models!$B$10-Models!$B$9)),IF($K17&lt;Models!$A$11,(Models!$B$10+(Advancement!$K17-Models!$A$10)/Models!$A$11*(Models!$B$11-Models!$B$10)),IF($K17&lt;Models!$A$12,(Models!$B$11+(Advancement!$K17-Models!$A$11)/Models!$A$12*(Models!$B$12-Models!$B$11)),IF($K17&lt;Models!$A$13,(Models!$B$12+(Advancement!$K17-Models!$A$12)/Models!$A$13*(Models!$B$13-Models!$B$12)),IF($K17&lt;Models!$A$14,(Models!$B$13+(Advancement!$K17-Models!$A$13)/Models!$A$14*(Models!$B$14-Models!$B$13)),IF($K17&lt;Models!$A$15,(Models!$B$14+(Advancement!$K17-Models!$A$14)/Models!$A$15*(Models!$B$15-Models!$B$14)),Models!$B$15)))))))))</f>
        <v>1.8</v>
      </c>
      <c r="R17" s="138">
        <f>IF($L17&lt;Models!$A$7,Models!$B$7,IF($L17&lt;Models!$A$8,(Models!$B$7+(Advancement!$L17-Models!$A$7)/Models!$A$8*(Models!$B$8-Models!$B$7)),IF($L17&lt;Models!$A$9,(Models!$B$8+(Advancement!$L17-Models!$A$8)/Models!$A$9*(Models!$B$9-Models!$B$8)),IF($L17&lt;Models!$A$10,(Models!$B$9+(Advancement!$L17-Models!$A$9)/Models!$A$10*(Models!$B$10-Models!$B$9)),IF($L17&lt;Models!$A$11,(Models!$B$10+(Advancement!$L17-Models!$A$10)/Models!$A$11*(Models!$B$11-Models!$B$10)),IF($L17&lt;Models!$A$12,(Models!$B$11+(Advancement!$L17-Models!$A$11)/Models!$A$12*(Models!$B$12-Models!$B$11)),IF($L17&lt;Models!$A$13,(Models!$B$12+(Advancement!$L17-Models!$A$12)/Models!$A$13*(Models!$B$13-Models!$B$12)),IF($L17&lt;Models!$A$14,(Models!$B$13+(Advancement!$L17-Models!$A$13)/Models!$A$14*(Models!$B$14-Models!$B$13)),IF($L17&lt;Models!$A$15,(Models!$B$14+(Advancement!$L17-Models!$A$14)/Models!$A$15*(Models!$B$15-Models!$B$14)),Models!$B$15)))))))))</f>
        <v>1.6</v>
      </c>
      <c r="S17" s="139">
        <f t="shared" si="5"/>
        <v>1.2896900000000002</v>
      </c>
      <c r="T17" s="137">
        <f t="shared" si="6"/>
        <v>1.2442600000000001</v>
      </c>
      <c r="U17" s="140">
        <f t="shared" si="7"/>
        <v>1.1988300000000001</v>
      </c>
      <c r="V17" s="136">
        <f>(40.41*M17^(-0.437)-0.047*(0.77*J17+12.4)+3.15)*Inputs!$I$6/1000*60</f>
        <v>1.8768299646898461</v>
      </c>
      <c r="W17" s="137">
        <f>(40.41*N17^(-0.437)-0.047*(0.77*K17+12.4)+3.15)*Inputs!$I$6/1000*60</f>
        <v>1.643091592916315</v>
      </c>
      <c r="X17" s="140">
        <f>(40.41*O17^(-0.437)-0.047*(0.77*L17+12.4)+3.15)*Inputs!$I$6/1000*60</f>
        <v>1.4359919895479762</v>
      </c>
      <c r="Y17" s="136">
        <f>IF($J17&lt;Models!$A$7,Models!$C$7,IF($J17&lt;Models!$A$8,(Models!$C$7+(Advancement!$J17-Models!$A$7)/Models!$A$8*(Models!$C$8-Models!$C$7)),IF($J17&lt;Models!$A$9,(Models!$C$8+(Advancement!$J17-Models!$A$8)/Models!$A$9*(Models!$C$9-Models!$C$8)),IF($J17&lt;Models!$A$10,(Models!$C$9+(Advancement!$J17-Models!$A$9)/Models!$A$10*(Models!$C$10-Models!$C$9)),IF($J17&lt;Models!$A$11,(Models!$C$10+(Advancement!$J17-Models!$A$10)/Models!$A$11*(Models!$C$11-Models!$C$10)),IF($J17&lt;Models!$A$12,(Models!$C$11+(Advancement!$J17-Models!$A$11)/Models!$A$12*(Models!$C$12-Models!$C$11)),IF($J17&lt;Models!$A$13,(Models!$C$12+(Advancement!$J17-Models!$A$12)/Models!$A$13*(Models!$C$13-Models!$C$12)),IF($J17&lt;Models!$A$14,(Models!$C$13+(Advancement!$J17-Models!$A$13)/Models!$A$14*(Models!$C$14-Models!$C$13)),IF($J17&lt;Models!$A$15,(Models!$C$14+(Advancement!$J17-Models!$A$14)/Models!$A$15*(Models!$C$15-Models!$C$14)),Models!$C$15)))))))))</f>
        <v>1.2896900000000002</v>
      </c>
      <c r="Z17" s="137">
        <f>IF($K17&lt;Models!$A$7,Models!$C$7,IF($K17&lt;Models!$A$8,(Models!$C$7+(Advancement!$K17-Models!$A$7)/Models!$A$8*(Models!$C$8-Models!$C$7)),IF($K17&lt;Models!$A$9,(Models!$C$8+(Advancement!$K17-Models!$A$8)/Models!$A$9*(Models!$C$9-Models!$C$8)),IF($K17&lt;Models!$A$10,(Models!$C$9+(Advancement!$K17-Models!$A$9)/Models!$A$10*(Models!$C$10-Models!$C$9)),IF($K17&lt;Models!$A$11,(Models!$C$10+(Advancement!$K17-Models!$A$10)/Models!$A$11*(Models!$C$11-Models!$C$10)),IF($K17&lt;Models!$A$12,(Models!$C$11+(Advancement!$K17-Models!$A$11)/Models!$A$12*(Models!$C$12-Models!$C$11)),IF($K17&lt;Models!$A$13,(Models!$C$12+(Advancement!$K17-Models!$A$12)/Models!$A$13*(Models!$C$13-Models!$C$12)),IF($K17&lt;Models!$A$14,(Models!$C$13+(Advancement!$K17-Models!$A$13)/Models!$A$14*(Models!$C$14-Models!$C$13)),IF($K17&lt;Models!$A$15,(Models!$C$14+(Advancement!$K17-Models!$A$14)/Models!$A$15*(Models!$C$15-Models!$C$14)),Models!$C$15)))))))))</f>
        <v>1.2442600000000001</v>
      </c>
      <c r="AA17" s="140">
        <f>IF($L17&lt;Models!$A$7,Models!$C$7,IF($L17&lt;Models!$A$8,(Models!$C$7+(Advancement!$L17-Models!$A$7)/Models!$A$8*(Models!$C$8-Models!$C$7)),IF($L17&lt;Models!$A$9,(Models!$C$8+(Advancement!$L17-Models!$A$8)/Models!$A$9*(Models!$C$9-Models!$C$8)),IF($L17&lt;Models!$A$10,(Models!$C$9+(Advancement!$L17-Models!$A$9)/Models!$A$10*(Models!$C$10-Models!$C$9)),IF($L17&lt;Models!$A$11,(Models!$C$10+(Advancement!$L17-Models!$A$10)/Models!$A$11*(Models!$C$11-Models!$C$10)),IF($L17&lt;Models!$A$12,(Models!$C$11+(Advancement!$L17-Models!$A$11)/Models!$A$12*(Models!$C$12-Models!$C$11)),IF($L17&lt;Models!$A$13,(Models!$C$12+(Advancement!$L17-Models!$A$12)/Models!$A$13*(Models!$C$13-Models!$C$12)),IF($L17&lt;Models!$A$14,(Models!$C$13+(Advancement!$L17-Models!$A$13)/Models!$A$14*(Models!$C$14-Models!$C$13)),IF($L17&lt;Models!$A$15,(Models!$C$14+(Advancement!$L17-Models!$A$14)/Models!$A$15*(Models!$C$15-Models!$C$14)),Models!$C$15)))))))))</f>
        <v>1.1988300000000001</v>
      </c>
      <c r="AB17" s="136">
        <f>IF($J17&lt;Models!$A$7,Models!$D$7,IF($J17&lt;Models!$A$8,(Models!$D$7+(Advancement!$J17-Models!$A$7)/Models!$A$8*(Models!$D$8-Models!$D$7)),IF($J17&lt;Models!$A$9,(Models!$D$8+(Advancement!$J17-Models!$A$8)/Models!$A$9*(Models!$D$9-Models!$D$8)),IF($J17&lt;Models!$A$10,(Models!$D$9+(Advancement!$J17-Models!$A$9)/Models!$A$10*(Models!$D$10-Models!$D$9)),IF($J17&lt;Models!$A$11,(Models!$D$10+(Advancement!$J17-Models!$A$10)/Models!$A$11*(Models!$D$11-Models!$D$10)),IF($J17&lt;Models!$A$12,(Models!$D$11+(Advancement!$J17-Models!$A$11)/Models!$A$12*(Models!$D$12-Models!$D$11)),IF($J17&lt;Models!$A$13,(Models!$D$12+(Advancement!$J17-Models!$A$12)/Models!$A$13*(Models!$D$13-Models!$D$12)),IF($J17&lt;Models!$A$14,(Models!$D$13+(Advancement!$J17-Models!$A$13)/Models!$A$14*(Models!$D$14-Models!$D$13)),IF($J17&lt;Models!$A$15,(Models!$D$14+(Advancement!$J17-Models!$A$14)/Models!$A$15*(Models!$D$15-Models!$D$14)),Models!$D$15)))))))))</f>
        <v>2.2999999999999998</v>
      </c>
      <c r="AC17" s="137">
        <f>IF($K17&lt;Models!$A$7,Models!$D$7,IF($K17&lt;Models!$A$8,(Models!$D$7+(Advancement!$K17-Models!$A$7)/Models!$A$8*(Models!$D$8-Models!$D$7)),IF($K17&lt;Models!$A$9,(Models!$D$8+(Advancement!$K17-Models!$A$8)/Models!$A$9*(Models!$D$9-Models!$D$8)),IF($K17&lt;Models!$A$10,(Models!$D$9+(Advancement!$K17-Models!$A$9)/Models!$A$10*(Models!$D$10-Models!$D$9)),IF($K17&lt;Models!$A$11,(Models!$D$10+(Advancement!$K17-Models!$A$10)/Models!$A$11*(Models!$D$11-Models!$D$10)),IF($K17&lt;Models!$A$12,(Models!$D$11+(Advancement!$K17-Models!$A$11)/Models!$A$12*(Models!$D$12-Models!$D$11)),IF($K17&lt;Models!$A$13,(Models!$D$12+(Advancement!$K17-Models!$A$12)/Models!$A$13*(Models!$D$13-Models!$D$12)),IF($K17&lt;Models!$A$14,(Models!$D$13+(Advancement!$K17-Models!$A$13)/Models!$A$14*(Models!$D$14-Models!$D$13)),IF($K17&lt;Models!$A$15,(Models!$D$14+(Advancement!$K17-Models!$A$14)/Models!$A$15*(Models!$D$15-Models!$D$14)),Models!$D$15)))))))))</f>
        <v>2.2999999999999998</v>
      </c>
      <c r="AD17" s="140">
        <f>IF($L17&lt;Models!$A$7,Models!$D$7,IF($L17&lt;Models!$A$8,(Models!$D$7+(Advancement!$L17-Models!$A$7)/Models!$A$8*(Models!$D$8-Models!$D$7)),IF($L17&lt;Models!$A$9,(Models!$D$8+(Advancement!$L17-Models!$A$8)/Models!$A$9*(Models!$D$9-Models!$D$8)),IF($L17&lt;Models!$A$10,(Models!$D$9+(Advancement!$L17-Models!$A$9)/Models!$A$10*(Models!$D$10-Models!$D$9)),IF($L17&lt;Models!$A$11,(Models!$D$10+(Advancement!$L17-Models!$A$10)/Models!$A$11*(Models!$D$11-Models!$D$10)),IF($L17&lt;Models!$A$12,(Models!$D$11+(Advancement!$L17-Models!$A$11)/Models!$A$12*(Models!$D$12-Models!$D$11)),IF($L17&lt;Models!$A$13,(Models!$D$12+(Advancement!$L17-Models!$A$12)/Models!$A$13*(Models!$D$13-Models!$D$12)),IF($L17&lt;Models!$A$14,(Models!$D$13+(Advancement!$L17-Models!$A$13)/Models!$A$14*(Models!$D$14-Models!$D$13)),IF($L17&lt;Models!$A$15,(Models!$D$14+(Advancement!$L17-Models!$A$14)/Models!$A$15*(Models!$D$15-Models!$D$14)),Models!$D$15)))))))))</f>
        <v>2.2000000000000002</v>
      </c>
      <c r="AE17" s="136">
        <f t="shared" si="8"/>
        <v>1.7512419929379692</v>
      </c>
      <c r="AF17" s="137">
        <f t="shared" si="9"/>
        <v>1.6463223185832632</v>
      </c>
      <c r="AG17" s="138">
        <f t="shared" si="10"/>
        <v>1.5267303979095952</v>
      </c>
      <c r="AH17" s="120">
        <f t="shared" si="2"/>
        <v>8.2294535900800742E-2</v>
      </c>
      <c r="AI17" s="120">
        <f t="shared" si="3"/>
        <v>8.7539144329187912E-2</v>
      </c>
      <c r="AJ17" s="120">
        <f t="shared" si="4"/>
        <v>9.4396264891397949E-2</v>
      </c>
    </row>
    <row r="18" spans="1:36" ht="12" thickBot="1" x14ac:dyDescent="0.3">
      <c r="A18" s="125" t="s">
        <v>73</v>
      </c>
      <c r="B18" s="126">
        <f t="shared" si="11"/>
        <v>52490.5</v>
      </c>
      <c r="C18" s="142">
        <f>B18+21</f>
        <v>52511.5</v>
      </c>
      <c r="D18" s="127">
        <f t="shared" si="0"/>
        <v>21</v>
      </c>
      <c r="E18" s="143" t="s">
        <v>73</v>
      </c>
      <c r="F18" s="129">
        <v>0</v>
      </c>
      <c r="G18" s="130">
        <v>1</v>
      </c>
      <c r="H18" s="130">
        <v>0</v>
      </c>
      <c r="I18" s="131">
        <v>0</v>
      </c>
      <c r="J18" s="132">
        <f>K18-Inputs!C19</f>
        <v>20</v>
      </c>
      <c r="K18" s="133">
        <f>Inputs!B19</f>
        <v>30</v>
      </c>
      <c r="L18" s="134">
        <f>K18+Inputs!C19</f>
        <v>40</v>
      </c>
      <c r="M18" s="132">
        <f>N18-Inputs!E19</f>
        <v>96</v>
      </c>
      <c r="N18" s="133">
        <f>Inputs!D19</f>
        <v>115</v>
      </c>
      <c r="O18" s="135">
        <f>N18+Inputs!E19</f>
        <v>134</v>
      </c>
      <c r="P18" s="136">
        <f>IF($J18&lt;Models!$A$7,Models!$B$7,IF($J18&lt;Models!$A$8,(Models!$B$7+(Advancement!$J18-Models!$A$7)/Models!$A$8*(Models!$B$8-Models!$B$7)),IF($J18&lt;Models!$A$9,(Models!$B$8+(Advancement!$J18-Models!$A$8)/Models!$A$9*(Models!$B$9-Models!$B$8)),IF($J18&lt;Models!$A$10,(Models!$B$9+(Advancement!$J18-Models!$A$9)/Models!$A$10*(Models!$B$10-Models!$B$9)),IF($J18&lt;Models!$A$11,(Models!$B$10+(Advancement!$J18-Models!$A$10)/Models!$A$11*(Models!$B$11-Models!$B$10)),IF($J18&lt;Models!$A$12,(Models!$B$11+(Advancement!$J18-Models!$A$11)/Models!$A$12*(Models!$B$12-Models!$B$11)),IF($J18&lt;Models!$A$13,(Models!$B$12+(Advancement!$J18-Models!$A$12)/Models!$A$13*(Models!$B$13-Models!$B$12)),IF($J18&lt;Models!$A$14,(Models!$B$13+(Advancement!$J18-Models!$A$13)/Models!$A$14*(Models!$B$14-Models!$B$13)),IF($J18&lt;Models!$A$15,(Models!$B$14+(Advancement!$J18-Models!$A$14)/Models!$A$15*(Models!$B$15-Models!$B$14)),Models!$B$15)))))))))</f>
        <v>1.85</v>
      </c>
      <c r="Q18" s="137">
        <f>IF($K18&lt;Models!$A$7,Models!$B$7,IF($K18&lt;Models!$A$8,(Models!$B$7+(Advancement!$K18-Models!$A$7)/Models!$A$8*(Models!$B$8-Models!$B$7)),IF($K18&lt;Models!$A$9,(Models!$B$8+(Advancement!$K18-Models!$A$8)/Models!$A$9*(Models!$B$9-Models!$B$8)),IF($K18&lt;Models!$A$10,(Models!$B$9+(Advancement!$K18-Models!$A$9)/Models!$A$10*(Models!$B$10-Models!$B$9)),IF($K18&lt;Models!$A$11,(Models!$B$10+(Advancement!$K18-Models!$A$10)/Models!$A$11*(Models!$B$11-Models!$B$10)),IF($K18&lt;Models!$A$12,(Models!$B$11+(Advancement!$K18-Models!$A$11)/Models!$A$12*(Models!$B$12-Models!$B$11)),IF($K18&lt;Models!$A$13,(Models!$B$12+(Advancement!$K18-Models!$A$12)/Models!$A$13*(Models!$B$13-Models!$B$12)),IF($K18&lt;Models!$A$14,(Models!$B$13+(Advancement!$K18-Models!$A$13)/Models!$A$14*(Models!$B$14-Models!$B$13)),IF($K18&lt;Models!$A$15,(Models!$B$14+(Advancement!$K18-Models!$A$14)/Models!$A$15*(Models!$B$15-Models!$B$14)),Models!$B$15)))))))))</f>
        <v>2.2000000000000002</v>
      </c>
      <c r="R18" s="138">
        <f>IF($L18&lt;Models!$A$7,Models!$B$7,IF($L18&lt;Models!$A$8,(Models!$B$7+(Advancement!$L18-Models!$A$7)/Models!$A$8*(Models!$B$8-Models!$B$7)),IF($L18&lt;Models!$A$9,(Models!$B$8+(Advancement!$L18-Models!$A$8)/Models!$A$9*(Models!$B$9-Models!$B$8)),IF($L18&lt;Models!$A$10,(Models!$B$9+(Advancement!$L18-Models!$A$9)/Models!$A$10*(Models!$B$10-Models!$B$9)),IF($L18&lt;Models!$A$11,(Models!$B$10+(Advancement!$L18-Models!$A$10)/Models!$A$11*(Models!$B$11-Models!$B$10)),IF($L18&lt;Models!$A$12,(Models!$B$11+(Advancement!$L18-Models!$A$11)/Models!$A$12*(Models!$B$12-Models!$B$11)),IF($L18&lt;Models!$A$13,(Models!$B$12+(Advancement!$L18-Models!$A$12)/Models!$A$13*(Models!$B$13-Models!$B$12)),IF($L18&lt;Models!$A$14,(Models!$B$13+(Advancement!$L18-Models!$A$13)/Models!$A$14*(Models!$B$14-Models!$B$13)),IF($L18&lt;Models!$A$15,(Models!$B$14+(Advancement!$L18-Models!$A$14)/Models!$A$15*(Models!$B$15-Models!$B$14)),Models!$B$15)))))))))</f>
        <v>2.1</v>
      </c>
      <c r="S18" s="139">
        <f t="shared" si="5"/>
        <v>1.42598</v>
      </c>
      <c r="T18" s="137">
        <f t="shared" si="6"/>
        <v>1.3805500000000002</v>
      </c>
      <c r="U18" s="140">
        <f t="shared" si="7"/>
        <v>1.3351200000000001</v>
      </c>
      <c r="V18" s="136">
        <f>(40.41*M18^(-0.437)-0.047*(0.77*J18+12.4)+3.15)*Inputs!$I$6/1000*60</f>
        <v>2.2025399646898469</v>
      </c>
      <c r="W18" s="137">
        <f>(40.41*N18^(-0.437)-0.047*(0.77*K18+12.4)+3.15)*Inputs!$I$6/1000*60</f>
        <v>1.9688015929163147</v>
      </c>
      <c r="X18" s="140">
        <f>(40.41*O18^(-0.437)-0.047*(0.77*L18+12.4)+3.15)*Inputs!$I$6/1000*60</f>
        <v>1.761701989547976</v>
      </c>
      <c r="Y18" s="136">
        <f>IF($J18&lt;Models!$A$7,Models!$C$7,IF($J18&lt;Models!$A$8,(Models!$C$7+(Advancement!$J18-Models!$A$7)/Models!$A$8*(Models!$C$8-Models!$C$7)),IF($J18&lt;Models!$A$9,(Models!$C$8+(Advancement!$J18-Models!$A$8)/Models!$A$9*(Models!$C$9-Models!$C$8)),IF($J18&lt;Models!$A$10,(Models!$C$9+(Advancement!$J18-Models!$A$9)/Models!$A$10*(Models!$C$10-Models!$C$9)),IF($J18&lt;Models!$A$11,(Models!$C$10+(Advancement!$J18-Models!$A$10)/Models!$A$11*(Models!$C$11-Models!$C$10)),IF($J18&lt;Models!$A$12,(Models!$C$11+(Advancement!$J18-Models!$A$11)/Models!$A$12*(Models!$C$12-Models!$C$11)),IF($J18&lt;Models!$A$13,(Models!$C$12+(Advancement!$J18-Models!$A$12)/Models!$A$13*(Models!$C$13-Models!$C$12)),IF($J18&lt;Models!$A$14,(Models!$C$13+(Advancement!$J18-Models!$A$13)/Models!$A$14*(Models!$C$14-Models!$C$13)),IF($J18&lt;Models!$A$15,(Models!$C$14+(Advancement!$J18-Models!$A$14)/Models!$A$15*(Models!$C$15-Models!$C$14)),Models!$C$15)))))))))</f>
        <v>1.42598</v>
      </c>
      <c r="Z18" s="137">
        <f>IF($K18&lt;Models!$A$7,Models!$C$7,IF($K18&lt;Models!$A$8,(Models!$C$7+(Advancement!$K18-Models!$A$7)/Models!$A$8*(Models!$C$8-Models!$C$7)),IF($K18&lt;Models!$A$9,(Models!$C$8+(Advancement!$K18-Models!$A$8)/Models!$A$9*(Models!$C$9-Models!$C$8)),IF($K18&lt;Models!$A$10,(Models!$C$9+(Advancement!$K18-Models!$A$9)/Models!$A$10*(Models!$C$10-Models!$C$9)),IF($K18&lt;Models!$A$11,(Models!$C$10+(Advancement!$K18-Models!$A$10)/Models!$A$11*(Models!$C$11-Models!$C$10)),IF($K18&lt;Models!$A$12,(Models!$C$11+(Advancement!$K18-Models!$A$11)/Models!$A$12*(Models!$C$12-Models!$C$11)),IF($K18&lt;Models!$A$13,(Models!$C$12+(Advancement!$K18-Models!$A$12)/Models!$A$13*(Models!$C$13-Models!$C$12)),IF($K18&lt;Models!$A$14,(Models!$C$13+(Advancement!$K18-Models!$A$13)/Models!$A$14*(Models!$C$14-Models!$C$13)),IF($K18&lt;Models!$A$15,(Models!$C$14+(Advancement!$K18-Models!$A$14)/Models!$A$15*(Models!$C$15-Models!$C$14)),Models!$C$15)))))))))</f>
        <v>1.3805500000000002</v>
      </c>
      <c r="AA18" s="140">
        <f>IF($L18&lt;Models!$A$7,Models!$C$7,IF($L18&lt;Models!$A$8,(Models!$C$7+(Advancement!$L18-Models!$A$7)/Models!$A$8*(Models!$C$8-Models!$C$7)),IF($L18&lt;Models!$A$9,(Models!$C$8+(Advancement!$L18-Models!$A$8)/Models!$A$9*(Models!$C$9-Models!$C$8)),IF($L18&lt;Models!$A$10,(Models!$C$9+(Advancement!$L18-Models!$A$9)/Models!$A$10*(Models!$C$10-Models!$C$9)),IF($L18&lt;Models!$A$11,(Models!$C$10+(Advancement!$L18-Models!$A$10)/Models!$A$11*(Models!$C$11-Models!$C$10)),IF($L18&lt;Models!$A$12,(Models!$C$11+(Advancement!$L18-Models!$A$11)/Models!$A$12*(Models!$C$12-Models!$C$11)),IF($L18&lt;Models!$A$13,(Models!$C$12+(Advancement!$L18-Models!$A$12)/Models!$A$13*(Models!$C$13-Models!$C$12)),IF($L18&lt;Models!$A$14,(Models!$C$13+(Advancement!$L18-Models!$A$13)/Models!$A$14*(Models!$C$14-Models!$C$13)),IF($L18&lt;Models!$A$15,(Models!$C$14+(Advancement!$L18-Models!$A$14)/Models!$A$15*(Models!$C$15-Models!$C$14)),Models!$C$15)))))))))</f>
        <v>1.3351200000000001</v>
      </c>
      <c r="AB18" s="136">
        <f>IF($J18&lt;Models!$A$7,Models!$D$7,IF($J18&lt;Models!$A$8,(Models!$D$7+(Advancement!$J18-Models!$A$7)/Models!$A$8*(Models!$D$8-Models!$D$7)),IF($J18&lt;Models!$A$9,(Models!$D$8+(Advancement!$J18-Models!$A$8)/Models!$A$9*(Models!$D$9-Models!$D$8)),IF($J18&lt;Models!$A$10,(Models!$D$9+(Advancement!$J18-Models!$A$9)/Models!$A$10*(Models!$D$10-Models!$D$9)),IF($J18&lt;Models!$A$11,(Models!$D$10+(Advancement!$J18-Models!$A$10)/Models!$A$11*(Models!$D$11-Models!$D$10)),IF($J18&lt;Models!$A$12,(Models!$D$11+(Advancement!$J18-Models!$A$11)/Models!$A$12*(Models!$D$12-Models!$D$11)),IF($J18&lt;Models!$A$13,(Models!$D$12+(Advancement!$J18-Models!$A$12)/Models!$A$13*(Models!$D$13-Models!$D$12)),IF($J18&lt;Models!$A$14,(Models!$D$13+(Advancement!$J18-Models!$A$13)/Models!$A$14*(Models!$D$14-Models!$D$13)),IF($J18&lt;Models!$A$15,(Models!$D$14+(Advancement!$J18-Models!$A$14)/Models!$A$15*(Models!$D$15-Models!$D$14)),Models!$D$15)))))))))</f>
        <v>1.4</v>
      </c>
      <c r="AC18" s="137">
        <f>IF($K18&lt;Models!$A$7,Models!$D$7,IF($K18&lt;Models!$A$8,(Models!$D$7+(Advancement!$K18-Models!$A$7)/Models!$A$8*(Models!$D$8-Models!$D$7)),IF($K18&lt;Models!$A$9,(Models!$D$8+(Advancement!$K18-Models!$A$8)/Models!$A$9*(Models!$D$9-Models!$D$8)),IF($K18&lt;Models!$A$10,(Models!$D$9+(Advancement!$K18-Models!$A$9)/Models!$A$10*(Models!$D$10-Models!$D$9)),IF($K18&lt;Models!$A$11,(Models!$D$10+(Advancement!$K18-Models!$A$10)/Models!$A$11*(Models!$D$11-Models!$D$10)),IF($K18&lt;Models!$A$12,(Models!$D$11+(Advancement!$K18-Models!$A$11)/Models!$A$12*(Models!$D$12-Models!$D$11)),IF($K18&lt;Models!$A$13,(Models!$D$12+(Advancement!$K18-Models!$A$12)/Models!$A$13*(Models!$D$13-Models!$D$12)),IF($K18&lt;Models!$A$14,(Models!$D$13+(Advancement!$K18-Models!$A$13)/Models!$A$14*(Models!$D$14-Models!$D$13)),IF($K18&lt;Models!$A$15,(Models!$D$14+(Advancement!$K18-Models!$A$14)/Models!$A$15*(Models!$D$15-Models!$D$14)),Models!$D$15)))))))))</f>
        <v>1.8</v>
      </c>
      <c r="AD18" s="140">
        <f>IF($L18&lt;Models!$A$7,Models!$D$7,IF($L18&lt;Models!$A$8,(Models!$D$7+(Advancement!$L18-Models!$A$7)/Models!$A$8*(Models!$D$8-Models!$D$7)),IF($L18&lt;Models!$A$9,(Models!$D$8+(Advancement!$L18-Models!$A$8)/Models!$A$9*(Models!$D$9-Models!$D$8)),IF($L18&lt;Models!$A$10,(Models!$D$9+(Advancement!$L18-Models!$A$9)/Models!$A$10*(Models!$D$10-Models!$D$9)),IF($L18&lt;Models!$A$11,(Models!$D$10+(Advancement!$L18-Models!$A$10)/Models!$A$11*(Models!$D$11-Models!$D$10)),IF($L18&lt;Models!$A$12,(Models!$D$11+(Advancement!$L18-Models!$A$11)/Models!$A$12*(Models!$D$12-Models!$D$11)),IF($L18&lt;Models!$A$13,(Models!$D$12+(Advancement!$L18-Models!$A$12)/Models!$A$13*(Models!$D$13-Models!$D$12)),IF($L18&lt;Models!$A$14,(Models!$D$13+(Advancement!$L18-Models!$A$13)/Models!$A$14*(Models!$D$14-Models!$D$13)),IF($L18&lt;Models!$A$15,(Models!$D$14+(Advancement!$L18-Models!$A$14)/Models!$A$15*(Models!$D$15-Models!$D$14)),Models!$D$15)))))))))</f>
        <v>2.1</v>
      </c>
      <c r="AE18" s="136">
        <f t="shared" si="8"/>
        <v>1.6608999929379693</v>
      </c>
      <c r="AF18" s="137">
        <f t="shared" si="9"/>
        <v>1.745980318583263</v>
      </c>
      <c r="AG18" s="138">
        <f t="shared" si="10"/>
        <v>1.7263883979095951</v>
      </c>
      <c r="AH18" s="120">
        <f t="shared" si="2"/>
        <v>1.8593746205362201E-2</v>
      </c>
      <c r="AI18" s="120">
        <f t="shared" si="3"/>
        <v>1.7687686746798652E-2</v>
      </c>
      <c r="AJ18" s="120">
        <f t="shared" si="4"/>
        <v>1.7888415479720848E-2</v>
      </c>
    </row>
    <row r="19" spans="1:36" ht="12" thickBot="1" x14ac:dyDescent="0.3">
      <c r="A19" s="147">
        <v>31</v>
      </c>
      <c r="B19" s="148">
        <f t="shared" si="11"/>
        <v>52511.5</v>
      </c>
      <c r="C19" s="148">
        <v>52622.5</v>
      </c>
      <c r="D19" s="127">
        <f t="shared" si="0"/>
        <v>111</v>
      </c>
      <c r="E19" s="149" t="s">
        <v>18</v>
      </c>
      <c r="F19" s="150">
        <v>0</v>
      </c>
      <c r="G19" s="151">
        <v>0</v>
      </c>
      <c r="H19" s="151">
        <v>0.5</v>
      </c>
      <c r="I19" s="152">
        <v>0.5</v>
      </c>
      <c r="J19" s="153">
        <f>K19-Inputs!C20</f>
        <v>50</v>
      </c>
      <c r="K19" s="154">
        <f>Inputs!B20</f>
        <v>60</v>
      </c>
      <c r="L19" s="155">
        <f>K19+Inputs!C20</f>
        <v>70</v>
      </c>
      <c r="M19" s="153">
        <f>N19-Inputs!E20</f>
        <v>96</v>
      </c>
      <c r="N19" s="154">
        <f>Inputs!D20</f>
        <v>115</v>
      </c>
      <c r="O19" s="156">
        <f>N19+Inputs!E20</f>
        <v>134</v>
      </c>
      <c r="P19" s="157">
        <f>IF($J19&lt;Models!$A$7,Models!$B$7,IF($J19&lt;Models!$A$8,(Models!$B$7+(Advancement!$J19-Models!$A$7)/Models!$A$8*(Models!$B$8-Models!$B$7)),IF($J19&lt;Models!$A$9,(Models!$B$8+(Advancement!$J19-Models!$A$8)/Models!$A$9*(Models!$B$9-Models!$B$8)),IF($J19&lt;Models!$A$10,(Models!$B$9+(Advancement!$J19-Models!$A$9)/Models!$A$10*(Models!$B$10-Models!$B$9)),IF($J19&lt;Models!$A$11,(Models!$B$10+(Advancement!$J19-Models!$A$10)/Models!$A$11*(Models!$B$11-Models!$B$10)),IF($J19&lt;Models!$A$12,(Models!$B$11+(Advancement!$J19-Models!$A$11)/Models!$A$12*(Models!$B$12-Models!$B$11)),IF($J19&lt;Models!$A$13,(Models!$B$12+(Advancement!$J19-Models!$A$12)/Models!$A$13*(Models!$B$13-Models!$B$12)),IF($J19&lt;Models!$A$14,(Models!$B$13+(Advancement!$J19-Models!$A$13)/Models!$A$14*(Models!$B$14-Models!$B$13)),IF($J19&lt;Models!$A$15,(Models!$B$14+(Advancement!$J19-Models!$A$14)/Models!$A$15*(Models!$B$15-Models!$B$14)),Models!$B$15)))))))))</f>
        <v>2</v>
      </c>
      <c r="Q19" s="158">
        <f>IF($K19&lt;Models!$A$7,Models!$B$7,IF($K19&lt;Models!$A$8,(Models!$B$7+(Advancement!$K19-Models!$A$7)/Models!$A$8*(Models!$B$8-Models!$B$7)),IF($K19&lt;Models!$A$9,(Models!$B$8+(Advancement!$K19-Models!$A$8)/Models!$A$9*(Models!$B$9-Models!$B$8)),IF($K19&lt;Models!$A$10,(Models!$B$9+(Advancement!$K19-Models!$A$9)/Models!$A$10*(Models!$B$10-Models!$B$9)),IF($K19&lt;Models!$A$11,(Models!$B$10+(Advancement!$K19-Models!$A$10)/Models!$A$11*(Models!$B$11-Models!$B$10)),IF($K19&lt;Models!$A$12,(Models!$B$11+(Advancement!$K19-Models!$A$11)/Models!$A$12*(Models!$B$12-Models!$B$11)),IF($K19&lt;Models!$A$13,(Models!$B$12+(Advancement!$K19-Models!$A$12)/Models!$A$13*(Models!$B$13-Models!$B$12)),IF($K19&lt;Models!$A$14,(Models!$B$13+(Advancement!$K19-Models!$A$13)/Models!$A$14*(Models!$B$14-Models!$B$13)),IF($K19&lt;Models!$A$15,(Models!$B$14+(Advancement!$K19-Models!$A$14)/Models!$A$15*(Models!$B$15-Models!$B$14)),Models!$B$15)))))))))</f>
        <v>1.8</v>
      </c>
      <c r="R19" s="159">
        <f>IF($L19&lt;Models!$A$7,Models!$B$7,IF($L19&lt;Models!$A$8,(Models!$B$7+(Advancement!$L19-Models!$A$7)/Models!$A$8*(Models!$B$8-Models!$B$7)),IF($L19&lt;Models!$A$9,(Models!$B$8+(Advancement!$L19-Models!$A$8)/Models!$A$9*(Models!$B$9-Models!$B$8)),IF($L19&lt;Models!$A$10,(Models!$B$9+(Advancement!$L19-Models!$A$9)/Models!$A$10*(Models!$B$10-Models!$B$9)),IF($L19&lt;Models!$A$11,(Models!$B$10+(Advancement!$L19-Models!$A$10)/Models!$A$11*(Models!$B$11-Models!$B$10)),IF($L19&lt;Models!$A$12,(Models!$B$11+(Advancement!$L19-Models!$A$11)/Models!$A$12*(Models!$B$12-Models!$B$11)),IF($L19&lt;Models!$A$13,(Models!$B$12+(Advancement!$L19-Models!$A$12)/Models!$A$13*(Models!$B$13-Models!$B$12)),IF($L19&lt;Models!$A$14,(Models!$B$13+(Advancement!$L19-Models!$A$13)/Models!$A$14*(Models!$B$14-Models!$B$13)),IF($L19&lt;Models!$A$15,(Models!$B$14+(Advancement!$L19-Models!$A$14)/Models!$A$15*(Models!$B$15-Models!$B$14)),Models!$B$15)))))))))</f>
        <v>1.6</v>
      </c>
      <c r="S19" s="160">
        <f t="shared" si="5"/>
        <v>1.2896900000000002</v>
      </c>
      <c r="T19" s="158">
        <f t="shared" si="6"/>
        <v>1.2442600000000001</v>
      </c>
      <c r="U19" s="161">
        <f t="shared" si="7"/>
        <v>1.1988300000000001</v>
      </c>
      <c r="V19" s="157">
        <f>(40.41*M19^(-0.437)-0.047*(0.77*J19+12.4)+3.15)*Inputs!$I$6/1000*60</f>
        <v>1.8768299646898461</v>
      </c>
      <c r="W19" s="158">
        <f>(40.41*N19^(-0.437)-0.047*(0.77*K19+12.4)+3.15)*Inputs!$I$6/1000*60</f>
        <v>1.643091592916315</v>
      </c>
      <c r="X19" s="161">
        <f>(40.41*O19^(-0.437)-0.047*(0.77*L19+12.4)+3.15)*Inputs!$I$6/1000*60</f>
        <v>1.4359919895479762</v>
      </c>
      <c r="Y19" s="157">
        <f>IF($J19&lt;Models!$A$7,Models!$C$7,IF($J19&lt;Models!$A$8,(Models!$C$7+(Advancement!$J19-Models!$A$7)/Models!$A$8*(Models!$C$8-Models!$C$7)),IF($J19&lt;Models!$A$9,(Models!$C$8+(Advancement!$J19-Models!$A$8)/Models!$A$9*(Models!$C$9-Models!$C$8)),IF($J19&lt;Models!$A$10,(Models!$C$9+(Advancement!$J19-Models!$A$9)/Models!$A$10*(Models!$C$10-Models!$C$9)),IF($J19&lt;Models!$A$11,(Models!$C$10+(Advancement!$J19-Models!$A$10)/Models!$A$11*(Models!$C$11-Models!$C$10)),IF($J19&lt;Models!$A$12,(Models!$C$11+(Advancement!$J19-Models!$A$11)/Models!$A$12*(Models!$C$12-Models!$C$11)),IF($J19&lt;Models!$A$13,(Models!$C$12+(Advancement!$J19-Models!$A$12)/Models!$A$13*(Models!$C$13-Models!$C$12)),IF($J19&lt;Models!$A$14,(Models!$C$13+(Advancement!$J19-Models!$A$13)/Models!$A$14*(Models!$C$14-Models!$C$13)),IF($J19&lt;Models!$A$15,(Models!$C$14+(Advancement!$J19-Models!$A$14)/Models!$A$15*(Models!$C$15-Models!$C$14)),Models!$C$15)))))))))</f>
        <v>1.2896900000000002</v>
      </c>
      <c r="Z19" s="158">
        <f>IF($K19&lt;Models!$A$7,Models!$C$7,IF($K19&lt;Models!$A$8,(Models!$C$7+(Advancement!$K19-Models!$A$7)/Models!$A$8*(Models!$C$8-Models!$C$7)),IF($K19&lt;Models!$A$9,(Models!$C$8+(Advancement!$K19-Models!$A$8)/Models!$A$9*(Models!$C$9-Models!$C$8)),IF($K19&lt;Models!$A$10,(Models!$C$9+(Advancement!$K19-Models!$A$9)/Models!$A$10*(Models!$C$10-Models!$C$9)),IF($K19&lt;Models!$A$11,(Models!$C$10+(Advancement!$K19-Models!$A$10)/Models!$A$11*(Models!$C$11-Models!$C$10)),IF($K19&lt;Models!$A$12,(Models!$C$11+(Advancement!$K19-Models!$A$11)/Models!$A$12*(Models!$C$12-Models!$C$11)),IF($K19&lt;Models!$A$13,(Models!$C$12+(Advancement!$K19-Models!$A$12)/Models!$A$13*(Models!$C$13-Models!$C$12)),IF($K19&lt;Models!$A$14,(Models!$C$13+(Advancement!$K19-Models!$A$13)/Models!$A$14*(Models!$C$14-Models!$C$13)),IF($K19&lt;Models!$A$15,(Models!$C$14+(Advancement!$K19-Models!$A$14)/Models!$A$15*(Models!$C$15-Models!$C$14)),Models!$C$15)))))))))</f>
        <v>1.2442600000000001</v>
      </c>
      <c r="AA19" s="161">
        <f>IF($L19&lt;Models!$A$7,Models!$C$7,IF($L19&lt;Models!$A$8,(Models!$C$7+(Advancement!$L19-Models!$A$7)/Models!$A$8*(Models!$C$8-Models!$C$7)),IF($L19&lt;Models!$A$9,(Models!$C$8+(Advancement!$L19-Models!$A$8)/Models!$A$9*(Models!$C$9-Models!$C$8)),IF($L19&lt;Models!$A$10,(Models!$C$9+(Advancement!$L19-Models!$A$9)/Models!$A$10*(Models!$C$10-Models!$C$9)),IF($L19&lt;Models!$A$11,(Models!$C$10+(Advancement!$L19-Models!$A$10)/Models!$A$11*(Models!$C$11-Models!$C$10)),IF($L19&lt;Models!$A$12,(Models!$C$11+(Advancement!$L19-Models!$A$11)/Models!$A$12*(Models!$C$12-Models!$C$11)),IF($L19&lt;Models!$A$13,(Models!$C$12+(Advancement!$L19-Models!$A$12)/Models!$A$13*(Models!$C$13-Models!$C$12)),IF($L19&lt;Models!$A$14,(Models!$C$13+(Advancement!$L19-Models!$A$13)/Models!$A$14*(Models!$C$14-Models!$C$13)),IF($L19&lt;Models!$A$15,(Models!$C$14+(Advancement!$L19-Models!$A$14)/Models!$A$15*(Models!$C$15-Models!$C$14)),Models!$C$15)))))))))</f>
        <v>1.1988300000000001</v>
      </c>
      <c r="AB19" s="157">
        <f>IF($J19&lt;Models!$A$7,Models!$D$7,IF($J19&lt;Models!$A$8,(Models!$D$7+(Advancement!$J19-Models!$A$7)/Models!$A$8*(Models!$D$8-Models!$D$7)),IF($J19&lt;Models!$A$9,(Models!$D$8+(Advancement!$J19-Models!$A$8)/Models!$A$9*(Models!$D$9-Models!$D$8)),IF($J19&lt;Models!$A$10,(Models!$D$9+(Advancement!$J19-Models!$A$9)/Models!$A$10*(Models!$D$10-Models!$D$9)),IF($J19&lt;Models!$A$11,(Models!$D$10+(Advancement!$J19-Models!$A$10)/Models!$A$11*(Models!$D$11-Models!$D$10)),IF($J19&lt;Models!$A$12,(Models!$D$11+(Advancement!$J19-Models!$A$11)/Models!$A$12*(Models!$D$12-Models!$D$11)),IF($J19&lt;Models!$A$13,(Models!$D$12+(Advancement!$J19-Models!$A$12)/Models!$A$13*(Models!$D$13-Models!$D$12)),IF($J19&lt;Models!$A$14,(Models!$D$13+(Advancement!$J19-Models!$A$13)/Models!$A$14*(Models!$D$14-Models!$D$13)),IF($J19&lt;Models!$A$15,(Models!$D$14+(Advancement!$J19-Models!$A$14)/Models!$A$15*(Models!$D$15-Models!$D$14)),Models!$D$15)))))))))</f>
        <v>2.2999999999999998</v>
      </c>
      <c r="AC19" s="158">
        <f>IF($K19&lt;Models!$A$7,Models!$D$7,IF($K19&lt;Models!$A$8,(Models!$D$7+(Advancement!$K19-Models!$A$7)/Models!$A$8*(Models!$D$8-Models!$D$7)),IF($K19&lt;Models!$A$9,(Models!$D$8+(Advancement!$K19-Models!$A$8)/Models!$A$9*(Models!$D$9-Models!$D$8)),IF($K19&lt;Models!$A$10,(Models!$D$9+(Advancement!$K19-Models!$A$9)/Models!$A$10*(Models!$D$10-Models!$D$9)),IF($K19&lt;Models!$A$11,(Models!$D$10+(Advancement!$K19-Models!$A$10)/Models!$A$11*(Models!$D$11-Models!$D$10)),IF($K19&lt;Models!$A$12,(Models!$D$11+(Advancement!$K19-Models!$A$11)/Models!$A$12*(Models!$D$12-Models!$D$11)),IF($K19&lt;Models!$A$13,(Models!$D$12+(Advancement!$K19-Models!$A$12)/Models!$A$13*(Models!$D$13-Models!$D$12)),IF($K19&lt;Models!$A$14,(Models!$D$13+(Advancement!$K19-Models!$A$13)/Models!$A$14*(Models!$D$14-Models!$D$13)),IF($K19&lt;Models!$A$15,(Models!$D$14+(Advancement!$K19-Models!$A$14)/Models!$A$15*(Models!$D$15-Models!$D$14)),Models!$D$15)))))))))</f>
        <v>2.2999999999999998</v>
      </c>
      <c r="AD19" s="161">
        <f>IF($L19&lt;Models!$A$7,Models!$D$7,IF($L19&lt;Models!$A$8,(Models!$D$7+(Advancement!$L19-Models!$A$7)/Models!$A$8*(Models!$D$8-Models!$D$7)),IF($L19&lt;Models!$A$9,(Models!$D$8+(Advancement!$L19-Models!$A$8)/Models!$A$9*(Models!$D$9-Models!$D$8)),IF($L19&lt;Models!$A$10,(Models!$D$9+(Advancement!$L19-Models!$A$9)/Models!$A$10*(Models!$D$10-Models!$D$9)),IF($L19&lt;Models!$A$11,(Models!$D$10+(Advancement!$L19-Models!$A$10)/Models!$A$11*(Models!$D$11-Models!$D$10)),IF($L19&lt;Models!$A$12,(Models!$D$11+(Advancement!$L19-Models!$A$11)/Models!$A$12*(Models!$D$12-Models!$D$11)),IF($L19&lt;Models!$A$13,(Models!$D$12+(Advancement!$L19-Models!$A$12)/Models!$A$13*(Models!$D$13-Models!$D$12)),IF($L19&lt;Models!$A$14,(Models!$D$13+(Advancement!$L19-Models!$A$13)/Models!$A$14*(Models!$D$14-Models!$D$13)),IF($L19&lt;Models!$A$15,(Models!$D$14+(Advancement!$L19-Models!$A$14)/Models!$A$15*(Models!$D$15-Models!$D$14)),Models!$D$15)))))))))</f>
        <v>2.2000000000000002</v>
      </c>
      <c r="AE19" s="157">
        <f t="shared" si="8"/>
        <v>1.7512419929379692</v>
      </c>
      <c r="AF19" s="158">
        <f t="shared" si="9"/>
        <v>1.6463223185832632</v>
      </c>
      <c r="AG19" s="159">
        <f t="shared" si="10"/>
        <v>1.5267303979095952</v>
      </c>
      <c r="AH19" s="120">
        <f t="shared" si="2"/>
        <v>9.3211158010090639E-2</v>
      </c>
      <c r="AI19" s="120">
        <f t="shared" si="3"/>
        <v>9.9151479801427092E-2</v>
      </c>
      <c r="AJ19" s="120">
        <f t="shared" si="4"/>
        <v>0.10691821839739973</v>
      </c>
    </row>
    <row r="20" spans="1:36" ht="13.5" thickBot="1" x14ac:dyDescent="0.3">
      <c r="A20" s="162"/>
      <c r="B20" s="163"/>
      <c r="C20" s="163"/>
      <c r="D20" s="164">
        <f>SUM(D6:D19)</f>
        <v>3504.5</v>
      </c>
      <c r="E20" s="162"/>
      <c r="F20" s="165"/>
      <c r="G20" s="165"/>
      <c r="H20" s="165"/>
      <c r="I20" s="165"/>
      <c r="J20" s="166"/>
      <c r="K20" s="166"/>
      <c r="L20" s="166"/>
      <c r="M20" s="95"/>
      <c r="AC20" s="189" t="s">
        <v>83</v>
      </c>
      <c r="AD20" s="190" t="s">
        <v>62</v>
      </c>
      <c r="AE20" s="191">
        <f>SUM(AH6:AH19)</f>
        <v>2.9860381172461063</v>
      </c>
      <c r="AF20" s="191">
        <f>SUM(AI6:AI19)</f>
        <v>3.2870356364442164</v>
      </c>
      <c r="AG20" s="191">
        <f>SUM(AJ6:AJ19)</f>
        <v>3.6058252456501414</v>
      </c>
    </row>
    <row r="21" spans="1:36" ht="13.5" thickBot="1" x14ac:dyDescent="0.3">
      <c r="J21" s="167"/>
      <c r="M21" s="95"/>
      <c r="AC21" s="189" t="s">
        <v>84</v>
      </c>
      <c r="AD21" s="194" t="s">
        <v>64</v>
      </c>
      <c r="AE21" s="234">
        <f>$D$20/AE20</f>
        <v>1173.6286887161536</v>
      </c>
      <c r="AF21" s="235">
        <f>$D$41/AF20</f>
        <v>1066.1582007644517</v>
      </c>
      <c r="AG21" s="236">
        <f>$D$41/AG20</f>
        <v>971.89956840743343</v>
      </c>
    </row>
    <row r="22" spans="1:36" ht="12" thickBot="1" x14ac:dyDescent="0.3">
      <c r="A22" s="577" t="s">
        <v>0</v>
      </c>
      <c r="B22" s="578"/>
      <c r="C22" s="578"/>
      <c r="D22" s="578"/>
      <c r="E22" s="578"/>
      <c r="F22" s="578"/>
      <c r="G22" s="578"/>
      <c r="H22" s="578"/>
      <c r="I22" s="579"/>
      <c r="J22" s="167"/>
      <c r="M22" s="95"/>
    </row>
    <row r="23" spans="1:36" ht="15.75" customHeight="1" thickBot="1" x14ac:dyDescent="0.3">
      <c r="A23" s="543" t="str">
        <f>Advancement!A2</f>
        <v>Formazione</v>
      </c>
      <c r="B23" s="546" t="s">
        <v>19</v>
      </c>
      <c r="C23" s="546" t="s">
        <v>20</v>
      </c>
      <c r="D23" s="549" t="s">
        <v>4</v>
      </c>
      <c r="E23" s="552" t="s">
        <v>104</v>
      </c>
      <c r="F23" s="580" t="s">
        <v>5</v>
      </c>
      <c r="G23" s="581"/>
      <c r="H23" s="581"/>
      <c r="I23" s="582"/>
      <c r="K23" s="95"/>
      <c r="L23" s="95"/>
      <c r="M23" s="533" t="s">
        <v>1</v>
      </c>
      <c r="N23" s="534"/>
      <c r="O23" s="535"/>
      <c r="P23" s="533" t="s">
        <v>50</v>
      </c>
      <c r="Q23" s="534"/>
      <c r="R23" s="535"/>
      <c r="S23" s="533" t="s">
        <v>51</v>
      </c>
      <c r="T23" s="534"/>
      <c r="U23" s="535"/>
      <c r="V23" s="533" t="s">
        <v>1</v>
      </c>
      <c r="W23" s="534"/>
      <c r="X23" s="535"/>
      <c r="Y23" s="533" t="s">
        <v>50</v>
      </c>
      <c r="Z23" s="534"/>
      <c r="AA23" s="535"/>
      <c r="AB23" s="533" t="s">
        <v>51</v>
      </c>
      <c r="AC23" s="534"/>
      <c r="AD23" s="535"/>
    </row>
    <row r="24" spans="1:36" ht="12" thickBot="1" x14ac:dyDescent="0.3">
      <c r="A24" s="543"/>
      <c r="B24" s="546"/>
      <c r="C24" s="546"/>
      <c r="D24" s="549"/>
      <c r="E24" s="552"/>
      <c r="F24" s="583" t="s">
        <v>26</v>
      </c>
      <c r="G24" s="584"/>
      <c r="H24" s="584"/>
      <c r="I24" s="585"/>
      <c r="J24" s="533" t="s">
        <v>47</v>
      </c>
      <c r="K24" s="534"/>
      <c r="L24" s="535"/>
      <c r="M24" s="541" t="s">
        <v>61</v>
      </c>
      <c r="N24" s="539"/>
      <c r="O24" s="540"/>
      <c r="P24" s="541" t="s">
        <v>61</v>
      </c>
      <c r="Q24" s="539"/>
      <c r="R24" s="540"/>
      <c r="S24" s="541" t="s">
        <v>61</v>
      </c>
      <c r="T24" s="539"/>
      <c r="U24" s="540"/>
      <c r="V24" s="574" t="s">
        <v>63</v>
      </c>
      <c r="W24" s="575"/>
      <c r="X24" s="576"/>
      <c r="Y24" s="574" t="s">
        <v>63</v>
      </c>
      <c r="Z24" s="575"/>
      <c r="AA24" s="576"/>
      <c r="AB24" s="574" t="s">
        <v>63</v>
      </c>
      <c r="AC24" s="575"/>
      <c r="AD24" s="576"/>
    </row>
    <row r="25" spans="1:36" ht="15.75" customHeight="1" thickBot="1" x14ac:dyDescent="0.3">
      <c r="A25" s="543"/>
      <c r="B25" s="546"/>
      <c r="C25" s="546"/>
      <c r="D25" s="549"/>
      <c r="E25" s="552"/>
      <c r="F25" s="96" t="s">
        <v>6</v>
      </c>
      <c r="G25" s="97" t="s">
        <v>7</v>
      </c>
      <c r="H25" s="97" t="s">
        <v>8</v>
      </c>
      <c r="I25" s="98" t="s">
        <v>9</v>
      </c>
      <c r="J25" s="168" t="s">
        <v>60</v>
      </c>
      <c r="K25" s="169" t="s">
        <v>21</v>
      </c>
      <c r="L25" s="170" t="s">
        <v>2</v>
      </c>
      <c r="M25" s="171" t="s">
        <v>37</v>
      </c>
      <c r="N25" s="172" t="s">
        <v>23</v>
      </c>
      <c r="O25" s="173" t="s">
        <v>38</v>
      </c>
      <c r="P25" s="171" t="s">
        <v>37</v>
      </c>
      <c r="Q25" s="172" t="s">
        <v>23</v>
      </c>
      <c r="R25" s="173" t="s">
        <v>38</v>
      </c>
      <c r="S25" s="171" t="s">
        <v>37</v>
      </c>
      <c r="T25" s="172" t="s">
        <v>23</v>
      </c>
      <c r="U25" s="173" t="s">
        <v>38</v>
      </c>
      <c r="V25" s="171" t="s">
        <v>37</v>
      </c>
      <c r="W25" s="172" t="s">
        <v>23</v>
      </c>
      <c r="X25" s="173" t="s">
        <v>38</v>
      </c>
      <c r="Y25" s="171" t="s">
        <v>37</v>
      </c>
      <c r="Z25" s="172" t="s">
        <v>23</v>
      </c>
      <c r="AA25" s="173" t="s">
        <v>38</v>
      </c>
      <c r="AB25" s="171" t="s">
        <v>37</v>
      </c>
      <c r="AC25" s="172" t="s">
        <v>23</v>
      </c>
      <c r="AD25" s="174" t="s">
        <v>38</v>
      </c>
    </row>
    <row r="26" spans="1:36" ht="12" thickBot="1" x14ac:dyDescent="0.3">
      <c r="A26" s="544"/>
      <c r="B26" s="547"/>
      <c r="C26" s="547"/>
      <c r="D26" s="550"/>
      <c r="E26" s="553"/>
      <c r="F26" s="175" t="s">
        <v>44</v>
      </c>
      <c r="G26" s="176" t="s">
        <v>10</v>
      </c>
      <c r="H26" s="176" t="s">
        <v>11</v>
      </c>
      <c r="I26" s="177" t="s">
        <v>12</v>
      </c>
      <c r="J26" s="586" t="s">
        <v>48</v>
      </c>
      <c r="K26" s="587"/>
      <c r="L26" s="588"/>
      <c r="M26" s="574" t="s">
        <v>40</v>
      </c>
      <c r="N26" s="575"/>
      <c r="O26" s="576"/>
      <c r="P26" s="574" t="s">
        <v>40</v>
      </c>
      <c r="Q26" s="575"/>
      <c r="R26" s="576"/>
      <c r="S26" s="574" t="s">
        <v>40</v>
      </c>
      <c r="T26" s="575"/>
      <c r="U26" s="576"/>
      <c r="V26" s="574" t="s">
        <v>62</v>
      </c>
      <c r="W26" s="575"/>
      <c r="X26" s="576"/>
      <c r="Y26" s="574" t="s">
        <v>62</v>
      </c>
      <c r="Z26" s="575"/>
      <c r="AA26" s="576"/>
      <c r="AB26" s="574" t="s">
        <v>62</v>
      </c>
      <c r="AC26" s="575"/>
      <c r="AD26" s="576"/>
    </row>
    <row r="27" spans="1:36" x14ac:dyDescent="0.25">
      <c r="A27" s="109">
        <f>Advancement!A6</f>
        <v>26</v>
      </c>
      <c r="B27" s="110">
        <f>Advancement!B6</f>
        <v>49118</v>
      </c>
      <c r="C27" s="110">
        <f>Advancement!C6</f>
        <v>50323</v>
      </c>
      <c r="D27" s="178">
        <f>Advancement!D6</f>
        <v>1205</v>
      </c>
      <c r="E27" s="115" t="str">
        <f>Advancement!E6</f>
        <v>GB-G-GA-1</v>
      </c>
      <c r="F27" s="113">
        <f>Advancement!F6</f>
        <v>0</v>
      </c>
      <c r="G27" s="114">
        <f>Advancement!G6</f>
        <v>0</v>
      </c>
      <c r="H27" s="114">
        <f>Advancement!H6</f>
        <v>0.15</v>
      </c>
      <c r="I27" s="115">
        <f>Advancement!I6</f>
        <v>0.85</v>
      </c>
      <c r="J27" s="179">
        <f>(F27*Models!$B$21+G27*Models!$C$21+H27*Models!$D$21+I27*Models!$E$21)</f>
        <v>0.47911666666666697</v>
      </c>
      <c r="K27" s="180">
        <f>(F27*Models!$B$22+G27*Models!$C$22+H27*Models!$D$22+I27*Models!$E$22)</f>
        <v>0.39895833333333336</v>
      </c>
      <c r="L27" s="181">
        <f>(F27*Models!$B$23+G27*Models!$C$23+H27*Models!$D$23+I27*Models!$E$23)</f>
        <v>0.45723611111111112</v>
      </c>
      <c r="M27" s="120">
        <f t="shared" ref="M27:M40" si="12">$J27*AE6</f>
        <v>0.8318362753459877</v>
      </c>
      <c r="N27" s="121">
        <f t="shared" ref="N27:N40" si="13">$J27*AF6</f>
        <v>0.73489577914563475</v>
      </c>
      <c r="O27" s="124">
        <f t="shared" ref="O27:O40" si="14">$J27*AG6</f>
        <v>0.66624287722882303</v>
      </c>
      <c r="P27" s="120">
        <f t="shared" ref="P27:P40" si="15">$K27*AE6</f>
        <v>0.69266639444444877</v>
      </c>
      <c r="Q27" s="121">
        <f t="shared" ref="Q27:Q40" si="16">$K27*AF6</f>
        <v>0.61194447118998929</v>
      </c>
      <c r="R27" s="124">
        <f t="shared" ref="R27:R40" si="17">$K27*AG6</f>
        <v>0.55477750282342297</v>
      </c>
      <c r="S27" s="120">
        <f t="shared" ref="S27:S40" si="18">$L27*AE6</f>
        <v>0.79384753251542894</v>
      </c>
      <c r="T27" s="121">
        <f t="shared" ref="T27:T40" si="19">$L27*AF6</f>
        <v>0.70133416661603609</v>
      </c>
      <c r="U27" s="124">
        <f t="shared" ref="U27:U40" si="20">$L27*AG6</f>
        <v>0.63581654205221616</v>
      </c>
      <c r="V27" s="120">
        <f t="shared" ref="V27:V40" si="21">$D27/M27/24/(340/12)</f>
        <v>2.1302976030858418</v>
      </c>
      <c r="W27" s="121">
        <f t="shared" ref="W27:W40" si="22">$D27/N27/24/(340/12)</f>
        <v>2.4113063019487582</v>
      </c>
      <c r="X27" s="122">
        <f t="shared" ref="X27:X40" si="23">$D27/O27/24/(340/12)</f>
        <v>2.6597790146742435</v>
      </c>
      <c r="Y27" s="120">
        <f t="shared" ref="Y27:Y40" si="24">$D27/P27/24/(340/12)</f>
        <v>2.5583149951293462</v>
      </c>
      <c r="Z27" s="121">
        <f t="shared" ref="Z27:Z40" si="25">$D27/Q27/24/(340/12)</f>
        <v>2.8957836976342972</v>
      </c>
      <c r="AA27" s="122">
        <f t="shared" ref="AA27:AA40" si="26">$D27/R27/24/(340/12)</f>
        <v>3.194179314249213</v>
      </c>
      <c r="AB27" s="123">
        <f t="shared" ref="AB27:AB40" si="27">$D27/S27/24/(340/12)</f>
        <v>2.2322407653197192</v>
      </c>
      <c r="AC27" s="121">
        <f t="shared" ref="AC27:AC40" si="28">$D27/T27/24/(340/12)</f>
        <v>2.5266968413640289</v>
      </c>
      <c r="AD27" s="122">
        <f t="shared" ref="AD27:AD40" si="29">$D27/U27/24/(340/12)</f>
        <v>2.7870599557063467</v>
      </c>
    </row>
    <row r="28" spans="1:36" x14ac:dyDescent="0.25">
      <c r="A28" s="125">
        <f>Advancement!A7</f>
        <v>27</v>
      </c>
      <c r="B28" s="126">
        <f>Advancement!B7</f>
        <v>50323</v>
      </c>
      <c r="C28" s="126">
        <f>Advancement!C7</f>
        <v>50395</v>
      </c>
      <c r="D28" s="182">
        <f>Advancement!D7</f>
        <v>72</v>
      </c>
      <c r="E28" s="131" t="str">
        <f>Advancement!E7</f>
        <v>GB-G-GA-2</v>
      </c>
      <c r="F28" s="129">
        <f>Advancement!F7</f>
        <v>0</v>
      </c>
      <c r="G28" s="130">
        <f>Advancement!G7</f>
        <v>0.2</v>
      </c>
      <c r="H28" s="130">
        <f>Advancement!H7</f>
        <v>0.55000000000000004</v>
      </c>
      <c r="I28" s="131">
        <f>Advancement!I7</f>
        <v>0.25</v>
      </c>
      <c r="J28" s="183">
        <f>(F28*Models!$B$21+G28*Models!$C$21+H28*Models!$D$21+I28*Models!$E$21)</f>
        <v>0.36886111111111131</v>
      </c>
      <c r="K28" s="184">
        <f>(F28*Models!$B$22+G28*Models!$C$22+H28*Models!$D$22+I28*Models!$E$22)</f>
        <v>0.33729166666666671</v>
      </c>
      <c r="L28" s="185">
        <f>(F28*Models!$B$23+G28*Models!$C$23+H28*Models!$D$23+I28*Models!$E$23)</f>
        <v>0.40518055555555554</v>
      </c>
      <c r="M28" s="136">
        <f t="shared" si="12"/>
        <v>0.66359760576993254</v>
      </c>
      <c r="N28" s="137">
        <f t="shared" si="13"/>
        <v>0.64718290076723217</v>
      </c>
      <c r="O28" s="140">
        <f t="shared" si="14"/>
        <v>0.60186322641632506</v>
      </c>
      <c r="P28" s="136">
        <f t="shared" si="15"/>
        <v>0.60680276587554804</v>
      </c>
      <c r="Q28" s="137">
        <f t="shared" si="16"/>
        <v>0.59179293414911616</v>
      </c>
      <c r="R28" s="140">
        <f t="shared" si="17"/>
        <v>0.55035200141277385</v>
      </c>
      <c r="S28" s="136">
        <f t="shared" si="18"/>
        <v>0.72893790771617706</v>
      </c>
      <c r="T28" s="137">
        <f t="shared" si="19"/>
        <v>0.71090694947219124</v>
      </c>
      <c r="U28" s="140">
        <f t="shared" si="20"/>
        <v>0.66112493050092036</v>
      </c>
      <c r="V28" s="136">
        <f t="shared" si="21"/>
        <v>0.1595580695598314</v>
      </c>
      <c r="W28" s="137">
        <f t="shared" si="22"/>
        <v>0.16360499144160556</v>
      </c>
      <c r="X28" s="138">
        <f t="shared" si="23"/>
        <v>0.17592427696842669</v>
      </c>
      <c r="Y28" s="136">
        <f t="shared" si="24"/>
        <v>0.17449220553304526</v>
      </c>
      <c r="Z28" s="137">
        <f t="shared" si="25"/>
        <v>0.17891790663809601</v>
      </c>
      <c r="AA28" s="138">
        <f t="shared" si="26"/>
        <v>0.19239023873697667</v>
      </c>
      <c r="AB28" s="139">
        <f t="shared" si="27"/>
        <v>0.14525565459054623</v>
      </c>
      <c r="AC28" s="137">
        <f t="shared" si="28"/>
        <v>0.14893981978905707</v>
      </c>
      <c r="AD28" s="138">
        <f t="shared" si="29"/>
        <v>0.16015483315831347</v>
      </c>
    </row>
    <row r="29" spans="1:36" x14ac:dyDescent="0.25">
      <c r="A29" s="125">
        <f>Advancement!A8</f>
        <v>28</v>
      </c>
      <c r="B29" s="126">
        <f>Advancement!B8</f>
        <v>50395</v>
      </c>
      <c r="C29" s="126">
        <f>Advancement!C8</f>
        <v>51494.5</v>
      </c>
      <c r="D29" s="182">
        <f>Advancement!D8</f>
        <v>1099.5</v>
      </c>
      <c r="E29" s="131" t="str">
        <f>Advancement!E8</f>
        <v>GB-G-GA-3</v>
      </c>
      <c r="F29" s="129">
        <f>Advancement!F8</f>
        <v>0</v>
      </c>
      <c r="G29" s="130">
        <f>Advancement!G8</f>
        <v>0</v>
      </c>
      <c r="H29" s="130">
        <f>Advancement!H8</f>
        <v>0.25</v>
      </c>
      <c r="I29" s="131">
        <f>Advancement!I8</f>
        <v>0.75</v>
      </c>
      <c r="J29" s="183">
        <f>(F29*Models!$B$21+G29*Models!$C$21+H29*Models!$D$21+I29*Models!$E$21)</f>
        <v>0.46608333333333357</v>
      </c>
      <c r="K29" s="184">
        <f>(F29*Models!$B$22+G29*Models!$C$22+H29*Models!$D$22+I29*Models!$E$22)</f>
        <v>0.39270833333333338</v>
      </c>
      <c r="L29" s="185">
        <f>(F29*Models!$B$23+G29*Models!$C$23+H29*Models!$D$23+I29*Models!$E$23)</f>
        <v>0.45298611111111109</v>
      </c>
      <c r="M29" s="136">
        <f t="shared" si="12"/>
        <v>0.79458771268139361</v>
      </c>
      <c r="N29" s="137">
        <f t="shared" si="13"/>
        <v>0.70899612658018873</v>
      </c>
      <c r="O29" s="140">
        <f t="shared" si="14"/>
        <v>0.6369893713731426</v>
      </c>
      <c r="P29" s="136">
        <f t="shared" si="15"/>
        <v>0.66949662006276878</v>
      </c>
      <c r="Q29" s="137">
        <f t="shared" si="16"/>
        <v>0.59737962569446412</v>
      </c>
      <c r="R29" s="140">
        <f t="shared" si="17"/>
        <v>0.53670881684175453</v>
      </c>
      <c r="S29" s="136">
        <f t="shared" si="18"/>
        <v>0.77225931965861006</v>
      </c>
      <c r="T29" s="137">
        <f t="shared" si="19"/>
        <v>0.68907290864809712</v>
      </c>
      <c r="U29" s="140">
        <f t="shared" si="20"/>
        <v>0.6190895866063244</v>
      </c>
      <c r="V29" s="136">
        <f t="shared" si="21"/>
        <v>2.034906579727362</v>
      </c>
      <c r="W29" s="137">
        <f t="shared" si="22"/>
        <v>2.2805650187469775</v>
      </c>
      <c r="X29" s="138">
        <f t="shared" si="23"/>
        <v>2.5383653752657516</v>
      </c>
      <c r="Y29" s="136">
        <f t="shared" si="24"/>
        <v>2.4151156499554673</v>
      </c>
      <c r="Z29" s="137">
        <f t="shared" si="25"/>
        <v>2.7066737718518517</v>
      </c>
      <c r="AA29" s="138">
        <f t="shared" si="26"/>
        <v>3.0126424496257522</v>
      </c>
      <c r="AB29" s="139">
        <f t="shared" si="27"/>
        <v>2.0937419899583278</v>
      </c>
      <c r="AC29" s="137">
        <f t="shared" si="28"/>
        <v>2.3465031702931509</v>
      </c>
      <c r="AD29" s="138">
        <f t="shared" si="29"/>
        <v>2.6117573283203477</v>
      </c>
    </row>
    <row r="30" spans="1:36" x14ac:dyDescent="0.25">
      <c r="A30" s="125" t="str">
        <f>Advancement!A9</f>
        <v>F4</v>
      </c>
      <c r="B30" s="126">
        <f>Advancement!B9</f>
        <v>51494.5</v>
      </c>
      <c r="C30" s="126">
        <f>Advancement!C9</f>
        <v>51505.5</v>
      </c>
      <c r="D30" s="182">
        <f>Advancement!D9</f>
        <v>11</v>
      </c>
      <c r="E30" s="131" t="str">
        <f>Advancement!E9</f>
        <v>F4</v>
      </c>
      <c r="F30" s="129">
        <f>Advancement!F9</f>
        <v>0</v>
      </c>
      <c r="G30" s="130">
        <f>Advancement!G9</f>
        <v>1</v>
      </c>
      <c r="H30" s="130">
        <f>Advancement!H9</f>
        <v>0</v>
      </c>
      <c r="I30" s="131">
        <f>Advancement!I9</f>
        <v>0</v>
      </c>
      <c r="J30" s="183">
        <f>(F30*Models!$B$21+G30*Models!$C$21+H30*Models!$D$21+I30*Models!$E$21)</f>
        <v>0.20805555555555563</v>
      </c>
      <c r="K30" s="184">
        <f>(F30*Models!$B$22+G30*Models!$C$22+H30*Models!$D$22+I30*Models!$E$22)</f>
        <v>0.22500000000000001</v>
      </c>
      <c r="L30" s="185">
        <f>(F30*Models!$B$23+G30*Models!$C$23+H30*Models!$D$23+I30*Models!$E$23)</f>
        <v>0.28833333333333333</v>
      </c>
      <c r="M30" s="136">
        <f t="shared" si="12"/>
        <v>0.34320009714532373</v>
      </c>
      <c r="N30" s="137">
        <f t="shared" si="13"/>
        <v>0.3597509495124504</v>
      </c>
      <c r="O30" s="140">
        <f t="shared" si="14"/>
        <v>0.35506320107607642</v>
      </c>
      <c r="P30" s="136">
        <f t="shared" si="15"/>
        <v>0.37115097288079058</v>
      </c>
      <c r="Q30" s="137">
        <f t="shared" si="16"/>
        <v>0.38904975848475931</v>
      </c>
      <c r="R30" s="140">
        <f t="shared" si="17"/>
        <v>0.3839802308032334</v>
      </c>
      <c r="S30" s="136">
        <f t="shared" si="18"/>
        <v>0.47562309858056862</v>
      </c>
      <c r="T30" s="137">
        <f t="shared" si="19"/>
        <v>0.49856006087306187</v>
      </c>
      <c r="U30" s="140">
        <f t="shared" si="20"/>
        <v>0.49206355502932869</v>
      </c>
      <c r="V30" s="136">
        <f t="shared" si="21"/>
        <v>4.7134224969014427E-2</v>
      </c>
      <c r="W30" s="137">
        <f t="shared" si="22"/>
        <v>4.4965748138144815E-2</v>
      </c>
      <c r="X30" s="138">
        <f t="shared" si="23"/>
        <v>4.5559411786999848E-2</v>
      </c>
      <c r="Y30" s="136">
        <f t="shared" si="24"/>
        <v>4.3584610496039282E-2</v>
      </c>
      <c r="Z30" s="137">
        <f t="shared" si="25"/>
        <v>4.1579438710457377E-2</v>
      </c>
      <c r="AA30" s="138">
        <f t="shared" si="26"/>
        <v>4.212839435612703E-2</v>
      </c>
      <c r="AB30" s="139">
        <f t="shared" si="27"/>
        <v>3.4011112236793664E-2</v>
      </c>
      <c r="AC30" s="137">
        <f t="shared" si="28"/>
        <v>3.2446382808738419E-2</v>
      </c>
      <c r="AD30" s="138">
        <f t="shared" si="29"/>
        <v>3.2874758601602029E-2</v>
      </c>
    </row>
    <row r="31" spans="1:36" x14ac:dyDescent="0.25">
      <c r="A31" s="125">
        <f>Advancement!A10</f>
        <v>28</v>
      </c>
      <c r="B31" s="126">
        <f>Advancement!B10</f>
        <v>51505.5</v>
      </c>
      <c r="C31" s="126">
        <f>Advancement!C10</f>
        <v>51564</v>
      </c>
      <c r="D31" s="182">
        <f>Advancement!D10</f>
        <v>58.5</v>
      </c>
      <c r="E31" s="131" t="str">
        <f>Advancement!E10</f>
        <v>GB-G-GA-3</v>
      </c>
      <c r="F31" s="129">
        <f>Advancement!F10</f>
        <v>0</v>
      </c>
      <c r="G31" s="130">
        <f>Advancement!G10</f>
        <v>0</v>
      </c>
      <c r="H31" s="130">
        <f>Advancement!H10</f>
        <v>0.25</v>
      </c>
      <c r="I31" s="131">
        <f>Advancement!I10</f>
        <v>0.75</v>
      </c>
      <c r="J31" s="183">
        <f>(F31*Models!$B$21+G31*Models!$C$21+H31*Models!$D$21+I31*Models!$E$21)</f>
        <v>0.46608333333333357</v>
      </c>
      <c r="K31" s="184">
        <f>(F31*Models!$B$22+G31*Models!$C$22+H31*Models!$D$22+I31*Models!$E$22)</f>
        <v>0.39270833333333338</v>
      </c>
      <c r="L31" s="185">
        <f>(F31*Models!$B$23+G31*Models!$C$23+H31*Models!$D$23+I31*Models!$E$23)</f>
        <v>0.45298611111111109</v>
      </c>
      <c r="M31" s="136">
        <f t="shared" si="12"/>
        <v>0.79458771268139361</v>
      </c>
      <c r="N31" s="137">
        <f t="shared" si="13"/>
        <v>0.70899612658018873</v>
      </c>
      <c r="O31" s="140">
        <f t="shared" si="14"/>
        <v>0.6369893713731426</v>
      </c>
      <c r="P31" s="136">
        <f t="shared" si="15"/>
        <v>0.66949662006276878</v>
      </c>
      <c r="Q31" s="137">
        <f t="shared" si="16"/>
        <v>0.59737962569446412</v>
      </c>
      <c r="R31" s="140">
        <f t="shared" si="17"/>
        <v>0.53670881684175453</v>
      </c>
      <c r="S31" s="136">
        <f t="shared" si="18"/>
        <v>0.77225931965861006</v>
      </c>
      <c r="T31" s="137">
        <f t="shared" si="19"/>
        <v>0.68907290864809712</v>
      </c>
      <c r="U31" s="140">
        <f t="shared" si="20"/>
        <v>0.6190895866063244</v>
      </c>
      <c r="V31" s="136">
        <f t="shared" si="21"/>
        <v>0.10826924503324299</v>
      </c>
      <c r="W31" s="137">
        <f t="shared" si="22"/>
        <v>0.12133974861000286</v>
      </c>
      <c r="X31" s="138">
        <f t="shared" si="23"/>
        <v>0.13505627508235241</v>
      </c>
      <c r="Y31" s="136">
        <f t="shared" si="24"/>
        <v>0.12849864986120493</v>
      </c>
      <c r="Z31" s="137">
        <f t="shared" si="25"/>
        <v>0.14401129209034408</v>
      </c>
      <c r="AA31" s="138">
        <f t="shared" si="26"/>
        <v>0.16029066239482173</v>
      </c>
      <c r="AB31" s="139">
        <f t="shared" si="27"/>
        <v>0.11139964203052492</v>
      </c>
      <c r="AC31" s="137">
        <f t="shared" si="28"/>
        <v>0.1248480540810817</v>
      </c>
      <c r="AD31" s="138">
        <f t="shared" si="29"/>
        <v>0.13896116753682616</v>
      </c>
    </row>
    <row r="32" spans="1:36" x14ac:dyDescent="0.25">
      <c r="A32" s="125">
        <f>Advancement!A11</f>
        <v>29</v>
      </c>
      <c r="B32" s="126">
        <f>Advancement!B11</f>
        <v>51564</v>
      </c>
      <c r="C32" s="126">
        <f>Advancement!C11</f>
        <v>51639</v>
      </c>
      <c r="D32" s="182">
        <f>Advancement!D11</f>
        <v>75</v>
      </c>
      <c r="E32" s="131" t="str">
        <f>Advancement!E11</f>
        <v>GB-G-GA-4</v>
      </c>
      <c r="F32" s="129">
        <f>Advancement!F11</f>
        <v>0</v>
      </c>
      <c r="G32" s="130">
        <f>Advancement!G11</f>
        <v>0</v>
      </c>
      <c r="H32" s="130">
        <f>Advancement!H11</f>
        <v>0.45</v>
      </c>
      <c r="I32" s="131">
        <f>Advancement!I11</f>
        <v>0.55000000000000004</v>
      </c>
      <c r="J32" s="183">
        <f>(F32*Models!$B$21+G32*Models!$C$21+H32*Models!$D$21+I32*Models!$E$21)</f>
        <v>0.44001666666666694</v>
      </c>
      <c r="K32" s="184">
        <f>(F32*Models!$B$22+G32*Models!$C$22+H32*Models!$D$22+I32*Models!$E$22)</f>
        <v>0.38020833333333337</v>
      </c>
      <c r="L32" s="185">
        <f>(F32*Models!$B$23+G32*Models!$C$23+H32*Models!$D$23+I32*Models!$E$23)</f>
        <v>0.44448611111111114</v>
      </c>
      <c r="M32" s="136">
        <f t="shared" si="12"/>
        <v>0.78830669169405099</v>
      </c>
      <c r="N32" s="137">
        <f t="shared" si="13"/>
        <v>0.75929097134829671</v>
      </c>
      <c r="O32" s="140">
        <f t="shared" si="14"/>
        <v>0.71561514152703065</v>
      </c>
      <c r="P32" s="136">
        <f t="shared" si="15"/>
        <v>0.68115777448848636</v>
      </c>
      <c r="Q32" s="137">
        <f t="shared" si="16"/>
        <v>0.65608595446699025</v>
      </c>
      <c r="R32" s="140">
        <f t="shared" si="17"/>
        <v>0.61834666929606363</v>
      </c>
      <c r="S32" s="136">
        <f t="shared" si="18"/>
        <v>0.7963138724001837</v>
      </c>
      <c r="T32" s="137">
        <f t="shared" si="19"/>
        <v>0.76700342651350095</v>
      </c>
      <c r="U32" s="140">
        <f t="shared" si="20"/>
        <v>0.72288396191714788</v>
      </c>
      <c r="V32" s="136">
        <f t="shared" si="21"/>
        <v>0.13991269997980046</v>
      </c>
      <c r="W32" s="137">
        <f t="shared" si="22"/>
        <v>0.14525935617436109</v>
      </c>
      <c r="X32" s="138">
        <f t="shared" si="23"/>
        <v>0.15412490771464865</v>
      </c>
      <c r="Y32" s="136">
        <f t="shared" si="24"/>
        <v>0.16192154267032172</v>
      </c>
      <c r="Z32" s="137">
        <f t="shared" si="25"/>
        <v>0.16810924985684642</v>
      </c>
      <c r="AA32" s="138">
        <f t="shared" si="26"/>
        <v>0.17836938908819472</v>
      </c>
      <c r="AB32" s="139">
        <f t="shared" si="27"/>
        <v>0.13850583478424078</v>
      </c>
      <c r="AC32" s="137">
        <f t="shared" si="28"/>
        <v>0.14379872870765775</v>
      </c>
      <c r="AD32" s="138">
        <f t="shared" si="29"/>
        <v>0.15257513440269133</v>
      </c>
    </row>
    <row r="33" spans="1:30" x14ac:dyDescent="0.25">
      <c r="A33" s="125" t="str">
        <f>Advancement!A12</f>
        <v>F6-F7</v>
      </c>
      <c r="B33" s="126">
        <f>Advancement!B12</f>
        <v>51639</v>
      </c>
      <c r="C33" s="126">
        <f>Advancement!C12</f>
        <v>51743</v>
      </c>
      <c r="D33" s="182">
        <f>Advancement!D12</f>
        <v>104</v>
      </c>
      <c r="E33" s="131" t="str">
        <f>Advancement!E12</f>
        <v>F6-F7</v>
      </c>
      <c r="F33" s="129">
        <f>Advancement!F12</f>
        <v>0</v>
      </c>
      <c r="G33" s="130">
        <f>Advancement!G12</f>
        <v>1</v>
      </c>
      <c r="H33" s="130">
        <f>Advancement!H12</f>
        <v>0</v>
      </c>
      <c r="I33" s="131">
        <f>Advancement!I12</f>
        <v>0</v>
      </c>
      <c r="J33" s="183">
        <f>(F33*Models!$B$21+G33*Models!$C$21+H33*Models!$D$21+I33*Models!$E$21)</f>
        <v>0.20805555555555563</v>
      </c>
      <c r="K33" s="184">
        <f>(F33*Models!$B$22+G33*Models!$C$22+H33*Models!$D$22+I33*Models!$E$22)</f>
        <v>0.22500000000000001</v>
      </c>
      <c r="L33" s="185">
        <f>(F33*Models!$B$23+G33*Models!$C$23+H33*Models!$D$23+I33*Models!$E$23)</f>
        <v>0.28833333333333333</v>
      </c>
      <c r="M33" s="136">
        <f t="shared" si="12"/>
        <v>0.35475435355152307</v>
      </c>
      <c r="N33" s="137">
        <f t="shared" si="13"/>
        <v>0.37043268762286513</v>
      </c>
      <c r="O33" s="140">
        <f t="shared" si="14"/>
        <v>0.36504950191905766</v>
      </c>
      <c r="P33" s="136">
        <f t="shared" si="15"/>
        <v>0.38364623014250149</v>
      </c>
      <c r="Q33" s="137">
        <f t="shared" si="16"/>
        <v>0.40060143788320518</v>
      </c>
      <c r="R33" s="140">
        <f t="shared" si="17"/>
        <v>0.39477983518616366</v>
      </c>
      <c r="S33" s="136">
        <f t="shared" si="18"/>
        <v>0.49163553936779814</v>
      </c>
      <c r="T33" s="137">
        <f t="shared" si="19"/>
        <v>0.51336332410218144</v>
      </c>
      <c r="U33" s="140">
        <f t="shared" si="20"/>
        <v>0.50590304805338016</v>
      </c>
      <c r="V33" s="136">
        <f t="shared" si="21"/>
        <v>0.4311185329777093</v>
      </c>
      <c r="W33" s="137">
        <f t="shared" si="22"/>
        <v>0.41287170808828988</v>
      </c>
      <c r="X33" s="138">
        <f t="shared" si="23"/>
        <v>0.41896010175765108</v>
      </c>
      <c r="Y33" s="136">
        <f t="shared" si="24"/>
        <v>0.3986515817287708</v>
      </c>
      <c r="Z33" s="137">
        <f t="shared" si="25"/>
        <v>0.38177890044213475</v>
      </c>
      <c r="AA33" s="138">
        <f t="shared" si="26"/>
        <v>0.38740878545244539</v>
      </c>
      <c r="AB33" s="139">
        <f t="shared" si="27"/>
        <v>0.3110864944126247</v>
      </c>
      <c r="AC33" s="137">
        <f t="shared" si="28"/>
        <v>0.29791995121207049</v>
      </c>
      <c r="AD33" s="138">
        <f t="shared" si="29"/>
        <v>0.302313214081388</v>
      </c>
    </row>
    <row r="34" spans="1:30" x14ac:dyDescent="0.25">
      <c r="A34" s="125">
        <f>Advancement!A13</f>
        <v>30</v>
      </c>
      <c r="B34" s="126">
        <f>Advancement!B13</f>
        <v>51743</v>
      </c>
      <c r="C34" s="126">
        <f>Advancement!C13</f>
        <v>51980.5</v>
      </c>
      <c r="D34" s="182">
        <f>Advancement!D13</f>
        <v>237.5</v>
      </c>
      <c r="E34" s="131" t="str">
        <f>Advancement!E13</f>
        <v>GB-G-GA-5</v>
      </c>
      <c r="F34" s="129">
        <f>Advancement!F13</f>
        <v>0</v>
      </c>
      <c r="G34" s="130">
        <f>Advancement!G13</f>
        <v>0</v>
      </c>
      <c r="H34" s="130">
        <f>Advancement!H13</f>
        <v>0.3</v>
      </c>
      <c r="I34" s="131">
        <f>Advancement!I13</f>
        <v>0.7</v>
      </c>
      <c r="J34" s="183">
        <f>(F34*Models!$B$21+G34*Models!$C$21+H34*Models!$D$21+I34*Models!$E$21)</f>
        <v>0.4595666666666669</v>
      </c>
      <c r="K34" s="184">
        <f>(F34*Models!$B$22+G34*Models!$C$22+H34*Models!$D$22+I34*Models!$E$22)</f>
        <v>0.38958333333333334</v>
      </c>
      <c r="L34" s="185">
        <f>(F34*Models!$B$23+G34*Models!$C$23+H34*Models!$D$23+I34*Models!$E$23)</f>
        <v>0.4508611111111111</v>
      </c>
      <c r="M34" s="136">
        <f t="shared" si="12"/>
        <v>0.79725658756145545</v>
      </c>
      <c r="N34" s="137">
        <f t="shared" si="13"/>
        <v>0.74180912761606044</v>
      </c>
      <c r="O34" s="140">
        <f t="shared" si="14"/>
        <v>0.68184066186315195</v>
      </c>
      <c r="P34" s="136">
        <f t="shared" si="15"/>
        <v>0.67584944999815089</v>
      </c>
      <c r="Q34" s="137">
        <f t="shared" si="16"/>
        <v>0.62884559215294855</v>
      </c>
      <c r="R34" s="140">
        <f t="shared" si="17"/>
        <v>0.57800919239323889</v>
      </c>
      <c r="S34" s="136">
        <f t="shared" si="18"/>
        <v>0.7821541834524055</v>
      </c>
      <c r="T34" s="137">
        <f t="shared" si="19"/>
        <v>0.72775706283312003</v>
      </c>
      <c r="U34" s="140">
        <f t="shared" si="20"/>
        <v>0.66892457766379032</v>
      </c>
      <c r="V34" s="136">
        <f t="shared" si="21"/>
        <v>0.43808318592968715</v>
      </c>
      <c r="W34" s="137">
        <f t="shared" si="22"/>
        <v>0.4708282668410661</v>
      </c>
      <c r="X34" s="138">
        <f t="shared" si="23"/>
        <v>0.51223801309821515</v>
      </c>
      <c r="Y34" s="136">
        <f t="shared" si="24"/>
        <v>0.51677885642032928</v>
      </c>
      <c r="Z34" s="137">
        <f t="shared" si="25"/>
        <v>0.55540614459360693</v>
      </c>
      <c r="AA34" s="138">
        <f t="shared" si="26"/>
        <v>0.6042545870874948</v>
      </c>
      <c r="AB34" s="139">
        <f t="shared" si="27"/>
        <v>0.44654201597530152</v>
      </c>
      <c r="AC34" s="137">
        <f t="shared" si="28"/>
        <v>0.47991936281962533</v>
      </c>
      <c r="AD34" s="138">
        <f t="shared" si="29"/>
        <v>0.52212867869522006</v>
      </c>
    </row>
    <row r="35" spans="1:30" x14ac:dyDescent="0.25">
      <c r="A35" s="141" t="str">
        <f>Advancement!A14</f>
        <v>F9</v>
      </c>
      <c r="B35" s="142">
        <f>Advancement!B14</f>
        <v>51980.5</v>
      </c>
      <c r="C35" s="142">
        <f>Advancement!C14</f>
        <v>52003.5</v>
      </c>
      <c r="D35" s="182">
        <f>Advancement!D14</f>
        <v>23</v>
      </c>
      <c r="E35" s="146" t="str">
        <f>Advancement!E14</f>
        <v>F9</v>
      </c>
      <c r="F35" s="144">
        <f>Advancement!F14</f>
        <v>0</v>
      </c>
      <c r="G35" s="145">
        <f>Advancement!G14</f>
        <v>1</v>
      </c>
      <c r="H35" s="145">
        <f>Advancement!H14</f>
        <v>0</v>
      </c>
      <c r="I35" s="146">
        <f>Advancement!I14</f>
        <v>0</v>
      </c>
      <c r="J35" s="183">
        <f>(F35*Models!$B$21+G35*Models!$C$21+H35*Models!$D$21+I35*Models!$E$21)</f>
        <v>0.20805555555555563</v>
      </c>
      <c r="K35" s="184">
        <f>(F35*Models!$B$22+G35*Models!$C$22+H35*Models!$D$22+I35*Models!$E$22)</f>
        <v>0.22500000000000001</v>
      </c>
      <c r="L35" s="185">
        <f>(F35*Models!$B$23+G35*Models!$C$23+H35*Models!$D$23+I35*Models!$E$23)</f>
        <v>0.28833333333333333</v>
      </c>
      <c r="M35" s="136">
        <f t="shared" si="12"/>
        <v>0.3461938808954772</v>
      </c>
      <c r="N35" s="137">
        <f t="shared" si="13"/>
        <v>0.36164399145755827</v>
      </c>
      <c r="O35" s="140">
        <f t="shared" si="14"/>
        <v>0.35633112918863985</v>
      </c>
      <c r="P35" s="136">
        <f t="shared" si="15"/>
        <v>0.37438857613529564</v>
      </c>
      <c r="Q35" s="137">
        <f t="shared" si="16"/>
        <v>0.39109697340536997</v>
      </c>
      <c r="R35" s="140">
        <f t="shared" si="17"/>
        <v>0.38535142141895617</v>
      </c>
      <c r="S35" s="136">
        <f t="shared" si="18"/>
        <v>0.47977202719560108</v>
      </c>
      <c r="T35" s="137">
        <f t="shared" si="19"/>
        <v>0.501183528882437</v>
      </c>
      <c r="U35" s="140">
        <f t="shared" si="20"/>
        <v>0.49382071041095865</v>
      </c>
      <c r="V35" s="136">
        <f t="shared" si="21"/>
        <v>9.7701118587872157E-2</v>
      </c>
      <c r="W35" s="137">
        <f t="shared" si="22"/>
        <v>9.3527143297593443E-2</v>
      </c>
      <c r="X35" s="138">
        <f t="shared" si="23"/>
        <v>9.4921623852455256E-2</v>
      </c>
      <c r="Y35" s="136">
        <f t="shared" si="24"/>
        <v>9.0343380027550949E-2</v>
      </c>
      <c r="Z35" s="137">
        <f t="shared" si="25"/>
        <v>8.6483741148021612E-2</v>
      </c>
      <c r="AA35" s="138">
        <f t="shared" si="26"/>
        <v>8.7773205266035798E-2</v>
      </c>
      <c r="AB35" s="139">
        <f t="shared" si="27"/>
        <v>7.0499169385661142E-2</v>
      </c>
      <c r="AC35" s="137">
        <f t="shared" si="28"/>
        <v>6.7487312456548668E-2</v>
      </c>
      <c r="AD35" s="138">
        <f t="shared" si="29"/>
        <v>6.8493541681588638E-2</v>
      </c>
    </row>
    <row r="36" spans="1:30" x14ac:dyDescent="0.25">
      <c r="A36" s="141">
        <f>Advancement!A15</f>
        <v>30</v>
      </c>
      <c r="B36" s="142">
        <f>Advancement!B15</f>
        <v>52003.5</v>
      </c>
      <c r="C36" s="142">
        <f>Advancement!C15</f>
        <v>52363.5</v>
      </c>
      <c r="D36" s="182">
        <f>Advancement!D15</f>
        <v>360</v>
      </c>
      <c r="E36" s="146" t="str">
        <f>Advancement!E15</f>
        <v>GB-G-GA-5</v>
      </c>
      <c r="F36" s="144">
        <f>Advancement!F15</f>
        <v>0</v>
      </c>
      <c r="G36" s="145">
        <f>Advancement!G15</f>
        <v>0</v>
      </c>
      <c r="H36" s="145">
        <f>Advancement!H15</f>
        <v>0.3</v>
      </c>
      <c r="I36" s="146">
        <f>Advancement!I15</f>
        <v>0.7</v>
      </c>
      <c r="J36" s="183">
        <f>(F36*Models!$B$21+G36*Models!$C$21+H36*Models!$D$21+I36*Models!$E$21)</f>
        <v>0.4595666666666669</v>
      </c>
      <c r="K36" s="184">
        <f>(F36*Models!$B$22+G36*Models!$C$22+H36*Models!$D$22+I36*Models!$E$22)</f>
        <v>0.38958333333333334</v>
      </c>
      <c r="L36" s="185">
        <f>(F36*Models!$B$23+G36*Models!$C$23+H36*Models!$D$23+I36*Models!$E$23)</f>
        <v>0.4508611111111111</v>
      </c>
      <c r="M36" s="136">
        <f t="shared" si="12"/>
        <v>0.79725658756145545</v>
      </c>
      <c r="N36" s="137">
        <f t="shared" si="13"/>
        <v>0.74180912761606044</v>
      </c>
      <c r="O36" s="140">
        <f t="shared" si="14"/>
        <v>0.68184066186315195</v>
      </c>
      <c r="P36" s="136">
        <f t="shared" si="15"/>
        <v>0.67584944999815089</v>
      </c>
      <c r="Q36" s="137">
        <f t="shared" si="16"/>
        <v>0.62884559215294855</v>
      </c>
      <c r="R36" s="140">
        <f t="shared" si="17"/>
        <v>0.57800919239323889</v>
      </c>
      <c r="S36" s="136">
        <f t="shared" si="18"/>
        <v>0.7821541834524055</v>
      </c>
      <c r="T36" s="137">
        <f t="shared" si="19"/>
        <v>0.72775706283312003</v>
      </c>
      <c r="U36" s="140">
        <f t="shared" si="20"/>
        <v>0.66892457766379032</v>
      </c>
      <c r="V36" s="136">
        <f t="shared" si="21"/>
        <v>0.66404188183026247</v>
      </c>
      <c r="W36" s="137">
        <f t="shared" si="22"/>
        <v>0.71367653079066851</v>
      </c>
      <c r="X36" s="138">
        <f t="shared" si="23"/>
        <v>0.77644498827518926</v>
      </c>
      <c r="Y36" s="136">
        <f t="shared" si="24"/>
        <v>0.78332795078449924</v>
      </c>
      <c r="Z36" s="137">
        <f t="shared" si="25"/>
        <v>0.84187878759451995</v>
      </c>
      <c r="AA36" s="138">
        <f t="shared" si="26"/>
        <v>0.91592274253262385</v>
      </c>
      <c r="AB36" s="139">
        <f t="shared" si="27"/>
        <v>0.67686368737308855</v>
      </c>
      <c r="AC36" s="137">
        <f t="shared" si="28"/>
        <v>0.72745671837922143</v>
      </c>
      <c r="AD36" s="138">
        <f t="shared" si="29"/>
        <v>0.79143715507485979</v>
      </c>
    </row>
    <row r="37" spans="1:30" x14ac:dyDescent="0.25">
      <c r="A37" s="141" t="str">
        <f>Advancement!A16</f>
        <v>F11</v>
      </c>
      <c r="B37" s="142">
        <f>Advancement!B16</f>
        <v>52363.5</v>
      </c>
      <c r="C37" s="142">
        <f>Advancement!C16</f>
        <v>52392.5</v>
      </c>
      <c r="D37" s="182">
        <f>Advancement!D16</f>
        <v>29</v>
      </c>
      <c r="E37" s="146" t="str">
        <f>Advancement!E16</f>
        <v>F11</v>
      </c>
      <c r="F37" s="144">
        <f>Advancement!F16</f>
        <v>0</v>
      </c>
      <c r="G37" s="145">
        <f>Advancement!G16</f>
        <v>1</v>
      </c>
      <c r="H37" s="145">
        <f>Advancement!H16</f>
        <v>0</v>
      </c>
      <c r="I37" s="146">
        <f>Advancement!I16</f>
        <v>0</v>
      </c>
      <c r="J37" s="183">
        <f>(F37*Models!$B$21+G37*Models!$C$21+H37*Models!$D$21+I37*Models!$E$21)</f>
        <v>0.20805555555555563</v>
      </c>
      <c r="K37" s="184">
        <f>(F37*Models!$B$22+G37*Models!$C$22+H37*Models!$D$22+I37*Models!$E$22)</f>
        <v>0.22500000000000001</v>
      </c>
      <c r="L37" s="185">
        <f>(F37*Models!$B$23+G37*Models!$C$23+H37*Models!$D$23+I37*Models!$E$23)</f>
        <v>0.28833333333333333</v>
      </c>
      <c r="M37" s="136">
        <f t="shared" si="12"/>
        <v>0.3461938808954772</v>
      </c>
      <c r="N37" s="137">
        <f t="shared" si="13"/>
        <v>0.36164399145755827</v>
      </c>
      <c r="O37" s="140">
        <f t="shared" si="14"/>
        <v>0.35633112918863985</v>
      </c>
      <c r="P37" s="136">
        <f t="shared" si="15"/>
        <v>0.37438857613529564</v>
      </c>
      <c r="Q37" s="137">
        <f t="shared" si="16"/>
        <v>0.39109697340536997</v>
      </c>
      <c r="R37" s="140">
        <f t="shared" si="17"/>
        <v>0.38535142141895617</v>
      </c>
      <c r="S37" s="136">
        <f t="shared" si="18"/>
        <v>0.47977202719560108</v>
      </c>
      <c r="T37" s="137">
        <f t="shared" si="19"/>
        <v>0.501183528882437</v>
      </c>
      <c r="U37" s="140">
        <f t="shared" si="20"/>
        <v>0.49382071041095865</v>
      </c>
      <c r="V37" s="136">
        <f t="shared" si="21"/>
        <v>0.12318836691514316</v>
      </c>
      <c r="W37" s="137">
        <f t="shared" si="22"/>
        <v>0.11792552850566129</v>
      </c>
      <c r="X37" s="138">
        <f t="shared" si="23"/>
        <v>0.119683786596574</v>
      </c>
      <c r="Y37" s="136">
        <f t="shared" si="24"/>
        <v>0.11391121829560773</v>
      </c>
      <c r="Z37" s="137">
        <f t="shared" si="25"/>
        <v>0.10904471709967942</v>
      </c>
      <c r="AA37" s="138">
        <f t="shared" si="26"/>
        <v>0.11067056316152339</v>
      </c>
      <c r="AB37" s="139">
        <f t="shared" si="27"/>
        <v>8.8890257051485788E-2</v>
      </c>
      <c r="AC37" s="137">
        <f t="shared" si="28"/>
        <v>8.5092698314778739E-2</v>
      </c>
      <c r="AD37" s="138">
        <f t="shared" si="29"/>
        <v>8.6361422120263931E-2</v>
      </c>
    </row>
    <row r="38" spans="1:30" x14ac:dyDescent="0.25">
      <c r="A38" s="141">
        <f>Advancement!A17</f>
        <v>31</v>
      </c>
      <c r="B38" s="142">
        <f>Advancement!B17</f>
        <v>52392.5</v>
      </c>
      <c r="C38" s="142">
        <f>Advancement!C17</f>
        <v>52490.5</v>
      </c>
      <c r="D38" s="182">
        <f>Advancement!D17</f>
        <v>98</v>
      </c>
      <c r="E38" s="146" t="str">
        <f>Advancement!E17</f>
        <v>GB-G-GA-6</v>
      </c>
      <c r="F38" s="144">
        <f>Advancement!F17</f>
        <v>0</v>
      </c>
      <c r="G38" s="145">
        <f>Advancement!G17</f>
        <v>0</v>
      </c>
      <c r="H38" s="145">
        <f>Advancement!H17</f>
        <v>0.5</v>
      </c>
      <c r="I38" s="146">
        <f>Advancement!I17</f>
        <v>0.5</v>
      </c>
      <c r="J38" s="183">
        <f>(F38*Models!$B$21+G38*Models!$C$21+H38*Models!$D$21+I38*Models!$E$21)</f>
        <v>0.43350000000000022</v>
      </c>
      <c r="K38" s="184">
        <f>(F38*Models!$B$22+G38*Models!$C$22+H38*Models!$D$22+I38*Models!$E$22)</f>
        <v>0.37708333333333338</v>
      </c>
      <c r="L38" s="185">
        <f>(F38*Models!$B$23+G38*Models!$C$23+H38*Models!$D$23+I38*Models!$E$23)</f>
        <v>0.44236111111111109</v>
      </c>
      <c r="M38" s="136">
        <f t="shared" si="12"/>
        <v>0.75916340393861004</v>
      </c>
      <c r="N38" s="137">
        <f t="shared" si="13"/>
        <v>0.7136807251058449</v>
      </c>
      <c r="O38" s="140">
        <f t="shared" si="14"/>
        <v>0.66183762749380981</v>
      </c>
      <c r="P38" s="136">
        <f t="shared" si="15"/>
        <v>0.66036416817035937</v>
      </c>
      <c r="Q38" s="137">
        <f t="shared" si="16"/>
        <v>0.62080070763243889</v>
      </c>
      <c r="R38" s="140">
        <f t="shared" si="17"/>
        <v>0.57570458754507658</v>
      </c>
      <c r="S38" s="136">
        <f t="shared" si="18"/>
        <v>0.77468135382047665</v>
      </c>
      <c r="T38" s="137">
        <f t="shared" si="19"/>
        <v>0.72826897009551295</v>
      </c>
      <c r="U38" s="140">
        <f t="shared" si="20"/>
        <v>0.67536615518639731</v>
      </c>
      <c r="V38" s="136">
        <f t="shared" si="21"/>
        <v>0.18983745305836375</v>
      </c>
      <c r="W38" s="137">
        <f t="shared" si="22"/>
        <v>0.20193574239720385</v>
      </c>
      <c r="X38" s="138">
        <f t="shared" si="23"/>
        <v>0.2177537829097991</v>
      </c>
      <c r="Y38" s="136">
        <f t="shared" si="24"/>
        <v>0.21823965321759306</v>
      </c>
      <c r="Z38" s="137">
        <f t="shared" si="25"/>
        <v>0.23214800706082975</v>
      </c>
      <c r="AA38" s="138">
        <f t="shared" si="26"/>
        <v>0.25033263617608292</v>
      </c>
      <c r="AB38" s="139">
        <f t="shared" si="27"/>
        <v>0.18603474363760292</v>
      </c>
      <c r="AC38" s="137">
        <f t="shared" si="28"/>
        <v>0.19789068733756762</v>
      </c>
      <c r="AD38" s="138">
        <f t="shared" si="29"/>
        <v>0.21339187039813665</v>
      </c>
    </row>
    <row r="39" spans="1:30" x14ac:dyDescent="0.25">
      <c r="A39" s="141" t="str">
        <f>Advancement!A18</f>
        <v>F12</v>
      </c>
      <c r="B39" s="142">
        <f>Advancement!B18</f>
        <v>52490.5</v>
      </c>
      <c r="C39" s="142">
        <f>Advancement!C18</f>
        <v>52511.5</v>
      </c>
      <c r="D39" s="182">
        <f>Advancement!D18</f>
        <v>21</v>
      </c>
      <c r="E39" s="146" t="str">
        <f>Advancement!E18</f>
        <v>F12</v>
      </c>
      <c r="F39" s="144">
        <f>Advancement!F18</f>
        <v>0</v>
      </c>
      <c r="G39" s="145">
        <f>Advancement!G18</f>
        <v>1</v>
      </c>
      <c r="H39" s="145">
        <f>Advancement!H18</f>
        <v>0</v>
      </c>
      <c r="I39" s="146">
        <f>Advancement!I18</f>
        <v>0</v>
      </c>
      <c r="J39" s="183">
        <f>(F39*Models!$B$21+G39*Models!$C$21+H39*Models!$D$21+I39*Models!$E$21)</f>
        <v>0.20805555555555563</v>
      </c>
      <c r="K39" s="184">
        <f>(F39*Models!$B$22+G39*Models!$C$22+H39*Models!$D$22+I39*Models!$E$22)</f>
        <v>0.22500000000000001</v>
      </c>
      <c r="L39" s="185">
        <f>(F39*Models!$B$23+G39*Models!$C$23+H39*Models!$D$23+I39*Models!$E$23)</f>
        <v>0.28833333333333333</v>
      </c>
      <c r="M39" s="136">
        <f t="shared" si="12"/>
        <v>0.34555947075292764</v>
      </c>
      <c r="N39" s="137">
        <f t="shared" si="13"/>
        <v>0.36326090517190679</v>
      </c>
      <c r="O39" s="140">
        <f t="shared" si="14"/>
        <v>0.35918469723174645</v>
      </c>
      <c r="P39" s="136">
        <f t="shared" si="15"/>
        <v>0.37370249841104308</v>
      </c>
      <c r="Q39" s="137">
        <f t="shared" si="16"/>
        <v>0.39284557168123418</v>
      </c>
      <c r="R39" s="140">
        <f t="shared" si="17"/>
        <v>0.38843738952965889</v>
      </c>
      <c r="S39" s="136">
        <f t="shared" si="18"/>
        <v>0.47889283129711446</v>
      </c>
      <c r="T39" s="137">
        <f t="shared" si="19"/>
        <v>0.50342432519150748</v>
      </c>
      <c r="U39" s="140">
        <f t="shared" si="20"/>
        <v>0.4977753213972666</v>
      </c>
      <c r="V39" s="136">
        <f t="shared" si="21"/>
        <v>8.9369140639925099E-2</v>
      </c>
      <c r="W39" s="137">
        <f t="shared" si="22"/>
        <v>8.5014248716255181E-2</v>
      </c>
      <c r="X39" s="138">
        <f t="shared" si="23"/>
        <v>8.5979033013344489E-2</v>
      </c>
      <c r="Y39" s="136">
        <f t="shared" si="24"/>
        <v>8.2638872023832008E-2</v>
      </c>
      <c r="Z39" s="137">
        <f t="shared" si="25"/>
        <v>7.8611941096882895E-2</v>
      </c>
      <c r="AA39" s="138">
        <f t="shared" si="26"/>
        <v>7.950406879875932E-2</v>
      </c>
      <c r="AB39" s="139">
        <f t="shared" si="27"/>
        <v>6.4486981059059659E-2</v>
      </c>
      <c r="AC39" s="137">
        <f t="shared" si="28"/>
        <v>6.1344578312596487E-2</v>
      </c>
      <c r="AD39" s="138">
        <f t="shared" si="29"/>
        <v>6.20407473285116E-2</v>
      </c>
    </row>
    <row r="40" spans="1:30" ht="12" thickBot="1" x14ac:dyDescent="0.3">
      <c r="A40" s="147">
        <f>Advancement!A19</f>
        <v>31</v>
      </c>
      <c r="B40" s="148">
        <f>Advancement!B19</f>
        <v>52511.5</v>
      </c>
      <c r="C40" s="148">
        <f>Advancement!C19</f>
        <v>52622.5</v>
      </c>
      <c r="D40" s="229">
        <f>Advancement!D19</f>
        <v>111</v>
      </c>
      <c r="E40" s="152" t="str">
        <f>Advancement!E19</f>
        <v>GB-G-GA-6</v>
      </c>
      <c r="F40" s="150">
        <f>Advancement!F19</f>
        <v>0</v>
      </c>
      <c r="G40" s="151">
        <f>Advancement!G19</f>
        <v>0</v>
      </c>
      <c r="H40" s="151">
        <f>Advancement!H19</f>
        <v>0.5</v>
      </c>
      <c r="I40" s="152">
        <f>Advancement!I19</f>
        <v>0.5</v>
      </c>
      <c r="J40" s="183">
        <f>(F40*Models!$B$21+G40*Models!$C$21+H40*Models!$D$21+I40*Models!$E$21)</f>
        <v>0.43350000000000022</v>
      </c>
      <c r="K40" s="184">
        <f>(F40*Models!$B$22+G40*Models!$C$22+H40*Models!$D$22+I40*Models!$E$22)</f>
        <v>0.37708333333333338</v>
      </c>
      <c r="L40" s="185">
        <f>(F40*Models!$B$23+G40*Models!$C$23+H40*Models!$D$23+I40*Models!$E$23)</f>
        <v>0.44236111111111109</v>
      </c>
      <c r="M40" s="136">
        <f t="shared" si="12"/>
        <v>0.75916340393861004</v>
      </c>
      <c r="N40" s="137">
        <f t="shared" si="13"/>
        <v>0.7136807251058449</v>
      </c>
      <c r="O40" s="140">
        <f t="shared" si="14"/>
        <v>0.66183762749380981</v>
      </c>
      <c r="P40" s="136">
        <f t="shared" si="15"/>
        <v>0.66036416817035937</v>
      </c>
      <c r="Q40" s="137">
        <f t="shared" si="16"/>
        <v>0.62080070763243889</v>
      </c>
      <c r="R40" s="140">
        <f t="shared" si="17"/>
        <v>0.57570458754507658</v>
      </c>
      <c r="S40" s="136">
        <f t="shared" si="18"/>
        <v>0.77468135382047665</v>
      </c>
      <c r="T40" s="137">
        <f t="shared" si="19"/>
        <v>0.72826897009551295</v>
      </c>
      <c r="U40" s="140">
        <f t="shared" si="20"/>
        <v>0.67536615518639731</v>
      </c>
      <c r="V40" s="136">
        <f t="shared" si="21"/>
        <v>0.21501997234161607</v>
      </c>
      <c r="W40" s="137">
        <f t="shared" si="22"/>
        <v>0.2287231367968329</v>
      </c>
      <c r="X40" s="138">
        <f t="shared" si="23"/>
        <v>0.24663948880599693</v>
      </c>
      <c r="Y40" s="136">
        <f t="shared" si="24"/>
        <v>0.24718981129747786</v>
      </c>
      <c r="Z40" s="137">
        <f t="shared" si="25"/>
        <v>0.26294315085461328</v>
      </c>
      <c r="AA40" s="138">
        <f t="shared" si="26"/>
        <v>0.28354002668923678</v>
      </c>
      <c r="AB40" s="139">
        <f t="shared" si="27"/>
        <v>0.21071282187524409</v>
      </c>
      <c r="AC40" s="137">
        <f t="shared" si="28"/>
        <v>0.22414149280071438</v>
      </c>
      <c r="AD40" s="138">
        <f t="shared" si="29"/>
        <v>0.24169895524686907</v>
      </c>
    </row>
    <row r="41" spans="1:30" ht="13.5" thickBot="1" x14ac:dyDescent="0.3">
      <c r="A41" s="162"/>
      <c r="B41" s="163"/>
      <c r="C41" s="163"/>
      <c r="D41" s="164">
        <f>Advancement!D20</f>
        <v>3504.5</v>
      </c>
      <c r="E41" s="162"/>
      <c r="F41" s="165"/>
      <c r="G41" s="165"/>
      <c r="H41" s="165"/>
      <c r="I41" s="165"/>
      <c r="K41" s="95"/>
      <c r="L41" s="95"/>
      <c r="M41" s="95"/>
      <c r="T41" s="189" t="s">
        <v>83</v>
      </c>
      <c r="U41" s="190" t="s">
        <v>62</v>
      </c>
      <c r="V41" s="191">
        <f>SUM(V27:V40)</f>
        <v>6.868438074635673</v>
      </c>
      <c r="W41" s="192">
        <f t="shared" ref="W41:AD41" si="30">SUM(W27:W40)</f>
        <v>7.4915434704934212</v>
      </c>
      <c r="X41" s="193">
        <f t="shared" si="30"/>
        <v>8.1814300798016468</v>
      </c>
      <c r="Y41" s="191">
        <f t="shared" si="30"/>
        <v>7.9330089774410855</v>
      </c>
      <c r="Z41" s="192">
        <f t="shared" si="30"/>
        <v>8.6833707466721837</v>
      </c>
      <c r="AA41" s="193">
        <f t="shared" si="30"/>
        <v>9.4994070636152852</v>
      </c>
      <c r="AB41" s="191">
        <f t="shared" si="30"/>
        <v>6.8102711696902229</v>
      </c>
      <c r="AC41" s="192">
        <f t="shared" si="30"/>
        <v>7.4644857986768383</v>
      </c>
      <c r="AD41" s="193">
        <f t="shared" si="30"/>
        <v>8.171248762352965</v>
      </c>
    </row>
    <row r="42" spans="1:30" ht="13.5" thickBot="1" x14ac:dyDescent="0.3">
      <c r="K42" s="95"/>
      <c r="L42" s="95"/>
      <c r="M42" s="95"/>
      <c r="T42" s="189" t="s">
        <v>84</v>
      </c>
      <c r="U42" s="194" t="s">
        <v>64</v>
      </c>
      <c r="V42" s="195">
        <f t="shared" ref="V42:AD42" si="31">$D$41/V41</f>
        <v>510.23245196629244</v>
      </c>
      <c r="W42" s="196">
        <f t="shared" si="31"/>
        <v>467.79412197272887</v>
      </c>
      <c r="X42" s="197">
        <f t="shared" si="31"/>
        <v>428.34809633732937</v>
      </c>
      <c r="Y42" s="198">
        <f t="shared" si="31"/>
        <v>441.76175899531512</v>
      </c>
      <c r="Z42" s="199">
        <f t="shared" si="31"/>
        <v>403.58751252709845</v>
      </c>
      <c r="AA42" s="200">
        <f t="shared" si="31"/>
        <v>368.91776260678074</v>
      </c>
      <c r="AB42" s="201">
        <f t="shared" si="31"/>
        <v>514.59037572499608</v>
      </c>
      <c r="AC42" s="202">
        <f t="shared" si="31"/>
        <v>469.48980740524831</v>
      </c>
      <c r="AD42" s="203">
        <f t="shared" si="31"/>
        <v>428.88181499823241</v>
      </c>
    </row>
    <row r="43" spans="1:30" ht="12" thickBot="1" x14ac:dyDescent="0.3">
      <c r="K43" s="95"/>
      <c r="L43" s="95"/>
      <c r="M43" s="95"/>
    </row>
    <row r="44" spans="1:30" ht="12" thickBot="1" x14ac:dyDescent="0.3">
      <c r="A44" s="577" t="s">
        <v>0</v>
      </c>
      <c r="B44" s="578"/>
      <c r="C44" s="578"/>
      <c r="D44" s="578"/>
      <c r="E44" s="578"/>
      <c r="F44" s="578"/>
      <c r="G44" s="578"/>
      <c r="H44" s="578"/>
      <c r="I44" s="579"/>
      <c r="J44" s="167"/>
    </row>
    <row r="45" spans="1:30" ht="12" thickBot="1" x14ac:dyDescent="0.3">
      <c r="A45" s="543" t="str">
        <f>Advancement!A23</f>
        <v>Formazione</v>
      </c>
      <c r="B45" s="546" t="s">
        <v>19</v>
      </c>
      <c r="C45" s="546" t="s">
        <v>20</v>
      </c>
      <c r="D45" s="549" t="s">
        <v>4</v>
      </c>
      <c r="E45" s="552" t="s">
        <v>104</v>
      </c>
      <c r="F45" s="580" t="s">
        <v>5</v>
      </c>
      <c r="G45" s="581"/>
      <c r="H45" s="581"/>
      <c r="I45" s="582"/>
      <c r="K45" s="95"/>
      <c r="L45" s="95"/>
      <c r="M45" s="533" t="s">
        <v>1</v>
      </c>
      <c r="N45" s="534"/>
      <c r="O45" s="535"/>
      <c r="P45" s="533" t="s">
        <v>50</v>
      </c>
      <c r="Q45" s="534"/>
      <c r="R45" s="535"/>
      <c r="S45" s="533" t="s">
        <v>51</v>
      </c>
      <c r="T45" s="534"/>
      <c r="U45" s="535"/>
    </row>
    <row r="46" spans="1:30" ht="12" thickBot="1" x14ac:dyDescent="0.3">
      <c r="A46" s="543"/>
      <c r="B46" s="546"/>
      <c r="C46" s="546"/>
      <c r="D46" s="549"/>
      <c r="E46" s="552"/>
      <c r="F46" s="583" t="s">
        <v>26</v>
      </c>
      <c r="G46" s="584"/>
      <c r="H46" s="584"/>
      <c r="I46" s="585"/>
      <c r="J46" s="533" t="s">
        <v>47</v>
      </c>
      <c r="K46" s="534"/>
      <c r="L46" s="535"/>
      <c r="M46" s="541" t="s">
        <v>61</v>
      </c>
      <c r="N46" s="539"/>
      <c r="O46" s="540"/>
      <c r="P46" s="541" t="s">
        <v>61</v>
      </c>
      <c r="Q46" s="539"/>
      <c r="R46" s="540"/>
      <c r="S46" s="541" t="s">
        <v>61</v>
      </c>
      <c r="T46" s="539"/>
      <c r="U46" s="540"/>
    </row>
    <row r="47" spans="1:30" ht="12" thickBot="1" x14ac:dyDescent="0.3">
      <c r="A47" s="543"/>
      <c r="B47" s="546"/>
      <c r="C47" s="546"/>
      <c r="D47" s="549"/>
      <c r="E47" s="552"/>
      <c r="F47" s="96" t="s">
        <v>6</v>
      </c>
      <c r="G47" s="97" t="s">
        <v>7</v>
      </c>
      <c r="H47" s="97" t="s">
        <v>8</v>
      </c>
      <c r="I47" s="98" t="s">
        <v>9</v>
      </c>
      <c r="J47" s="168" t="s">
        <v>60</v>
      </c>
      <c r="K47" s="169" t="s">
        <v>21</v>
      </c>
      <c r="L47" s="170" t="s">
        <v>2</v>
      </c>
      <c r="M47" s="171" t="s">
        <v>37</v>
      </c>
      <c r="N47" s="172" t="s">
        <v>23</v>
      </c>
      <c r="O47" s="173" t="s">
        <v>38</v>
      </c>
      <c r="P47" s="171" t="s">
        <v>37</v>
      </c>
      <c r="Q47" s="172" t="s">
        <v>23</v>
      </c>
      <c r="R47" s="173" t="s">
        <v>38</v>
      </c>
      <c r="S47" s="171" t="s">
        <v>37</v>
      </c>
      <c r="T47" s="172" t="s">
        <v>23</v>
      </c>
      <c r="U47" s="174" t="s">
        <v>38</v>
      </c>
    </row>
    <row r="48" spans="1:30" ht="12" thickBot="1" x14ac:dyDescent="0.3">
      <c r="A48" s="544"/>
      <c r="B48" s="547"/>
      <c r="C48" s="547"/>
      <c r="D48" s="550"/>
      <c r="E48" s="553"/>
      <c r="F48" s="175" t="s">
        <v>44</v>
      </c>
      <c r="G48" s="176" t="s">
        <v>10</v>
      </c>
      <c r="H48" s="176" t="s">
        <v>11</v>
      </c>
      <c r="I48" s="177" t="s">
        <v>12</v>
      </c>
      <c r="J48" s="586" t="s">
        <v>48</v>
      </c>
      <c r="K48" s="587"/>
      <c r="L48" s="588"/>
      <c r="M48" s="574" t="s">
        <v>64</v>
      </c>
      <c r="N48" s="575"/>
      <c r="O48" s="576"/>
      <c r="P48" s="574" t="s">
        <v>64</v>
      </c>
      <c r="Q48" s="575"/>
      <c r="R48" s="576"/>
      <c r="S48" s="574" t="s">
        <v>64</v>
      </c>
      <c r="T48" s="575"/>
      <c r="U48" s="576"/>
    </row>
    <row r="49" spans="1:27" x14ac:dyDescent="0.25">
      <c r="A49" s="109">
        <f>Advancement!A27</f>
        <v>26</v>
      </c>
      <c r="B49" s="110">
        <f>Advancement!B27</f>
        <v>49118</v>
      </c>
      <c r="C49" s="110">
        <f>Advancement!C27</f>
        <v>50323</v>
      </c>
      <c r="D49" s="178">
        <f>Advancement!D27</f>
        <v>1205</v>
      </c>
      <c r="E49" s="112" t="str">
        <f>Advancement!E27</f>
        <v>GB-G-GA-1</v>
      </c>
      <c r="F49" s="113">
        <f>Advancement!F27</f>
        <v>0</v>
      </c>
      <c r="G49" s="114">
        <f>Advancement!G27</f>
        <v>0</v>
      </c>
      <c r="H49" s="114">
        <f>Advancement!H27</f>
        <v>0.15</v>
      </c>
      <c r="I49" s="115">
        <f>Advancement!I27</f>
        <v>0.85</v>
      </c>
      <c r="J49" s="179">
        <f>(F49*Models!$B$21+G49*Models!$C$21+H49*Models!$D$21+I49*Models!$E$21)</f>
        <v>0.47911666666666697</v>
      </c>
      <c r="K49" s="180">
        <f>(F49*Models!$B$22+G49*Models!$C$22+H49*Models!$D$22+I49*Models!$E$22)</f>
        <v>0.39895833333333336</v>
      </c>
      <c r="L49" s="181">
        <f>(F49*Models!$B$23+G49*Models!$C$23+H49*Models!$D$23+I49*Models!$E$23)</f>
        <v>0.45723611111111112</v>
      </c>
      <c r="M49" s="204">
        <f t="shared" ref="M49:M62" si="32">$D27/V27</f>
        <v>565.64866723527155</v>
      </c>
      <c r="N49" s="205">
        <f t="shared" ref="N49:N62" si="33">$D27/W27</f>
        <v>499.72912981903158</v>
      </c>
      <c r="O49" s="206">
        <f t="shared" ref="O49:O62" si="34">$D27/X27</f>
        <v>453.04515651559961</v>
      </c>
      <c r="P49" s="204">
        <f t="shared" ref="P49:P62" si="35">$D27/Y27</f>
        <v>471.01314822222514</v>
      </c>
      <c r="Q49" s="205">
        <f t="shared" ref="Q49:Q62" si="36">$D27/Z27</f>
        <v>416.12224040919267</v>
      </c>
      <c r="R49" s="206">
        <f t="shared" ref="R49:R62" si="37">$D27/AA27</f>
        <v>377.24870191992756</v>
      </c>
      <c r="S49" s="204">
        <f t="shared" ref="S49:S62" si="38">$D27/AB27</f>
        <v>539.81632211049168</v>
      </c>
      <c r="T49" s="205">
        <f t="shared" ref="T49:T62" si="39">$D27/AC27</f>
        <v>476.90723329890449</v>
      </c>
      <c r="U49" s="207">
        <f t="shared" ref="U49:U62" si="40">$D27/AD27</f>
        <v>432.35524859550691</v>
      </c>
    </row>
    <row r="50" spans="1:27" x14ac:dyDescent="0.25">
      <c r="A50" s="125">
        <f>Advancement!A28</f>
        <v>27</v>
      </c>
      <c r="B50" s="126">
        <f>Advancement!B28</f>
        <v>50323</v>
      </c>
      <c r="C50" s="126">
        <f>Advancement!C28</f>
        <v>50395</v>
      </c>
      <c r="D50" s="182">
        <f>Advancement!D28</f>
        <v>72</v>
      </c>
      <c r="E50" s="128" t="str">
        <f>Advancement!E28</f>
        <v>GB-G-GA-2</v>
      </c>
      <c r="F50" s="129">
        <f>Advancement!F28</f>
        <v>0</v>
      </c>
      <c r="G50" s="130">
        <f>Advancement!G28</f>
        <v>0.2</v>
      </c>
      <c r="H50" s="130">
        <f>Advancement!H28</f>
        <v>0.55000000000000004</v>
      </c>
      <c r="I50" s="131">
        <f>Advancement!I28</f>
        <v>0.25</v>
      </c>
      <c r="J50" s="183">
        <f>(F50*Models!$B$21+G50*Models!$C$21+H50*Models!$D$21+I50*Models!$E$21)</f>
        <v>0.36886111111111131</v>
      </c>
      <c r="K50" s="184">
        <f>(F50*Models!$B$22+G50*Models!$C$22+H50*Models!$D$22+I50*Models!$E$22)</f>
        <v>0.33729166666666671</v>
      </c>
      <c r="L50" s="185">
        <f>(F50*Models!$B$23+G50*Models!$C$23+H50*Models!$D$23+I50*Models!$E$23)</f>
        <v>0.40518055555555554</v>
      </c>
      <c r="M50" s="208">
        <f t="shared" si="32"/>
        <v>451.24637192355414</v>
      </c>
      <c r="N50" s="209">
        <f t="shared" si="33"/>
        <v>440.08437252171785</v>
      </c>
      <c r="O50" s="210">
        <f t="shared" si="34"/>
        <v>409.26699396310102</v>
      </c>
      <c r="P50" s="208">
        <f t="shared" si="35"/>
        <v>412.62588079537267</v>
      </c>
      <c r="Q50" s="209">
        <f t="shared" si="36"/>
        <v>402.41919522139904</v>
      </c>
      <c r="R50" s="210">
        <f t="shared" si="37"/>
        <v>374.23936096068621</v>
      </c>
      <c r="S50" s="208">
        <f t="shared" si="38"/>
        <v>495.67777724700034</v>
      </c>
      <c r="T50" s="209">
        <f t="shared" si="39"/>
        <v>483.41672564109007</v>
      </c>
      <c r="U50" s="211">
        <f t="shared" si="40"/>
        <v>449.56495274062576</v>
      </c>
    </row>
    <row r="51" spans="1:27" ht="12" thickBot="1" x14ac:dyDescent="0.3">
      <c r="A51" s="125">
        <f>Advancement!A29</f>
        <v>28</v>
      </c>
      <c r="B51" s="126">
        <f>Advancement!B29</f>
        <v>50395</v>
      </c>
      <c r="C51" s="126">
        <f>Advancement!C29</f>
        <v>51494.5</v>
      </c>
      <c r="D51" s="182">
        <f>Advancement!D29</f>
        <v>1099.5</v>
      </c>
      <c r="E51" s="128" t="str">
        <f>Advancement!E29</f>
        <v>GB-G-GA-3</v>
      </c>
      <c r="F51" s="129">
        <f>Advancement!F29</f>
        <v>0</v>
      </c>
      <c r="G51" s="130">
        <f>Advancement!G29</f>
        <v>0</v>
      </c>
      <c r="H51" s="130">
        <f>Advancement!H29</f>
        <v>0.25</v>
      </c>
      <c r="I51" s="131">
        <f>Advancement!I29</f>
        <v>0.75</v>
      </c>
      <c r="J51" s="183">
        <f>(F51*Models!$B$21+G51*Models!$C$21+H51*Models!$D$21+I51*Models!$E$21)</f>
        <v>0.46608333333333357</v>
      </c>
      <c r="K51" s="184">
        <f>(F51*Models!$B$22+G51*Models!$C$22+H51*Models!$D$22+I51*Models!$E$22)</f>
        <v>0.39270833333333338</v>
      </c>
      <c r="L51" s="185">
        <f>(F51*Models!$B$23+G51*Models!$C$23+H51*Models!$D$23+I51*Models!$E$23)</f>
        <v>0.45298611111111109</v>
      </c>
      <c r="M51" s="208">
        <f t="shared" si="32"/>
        <v>540.31964462334759</v>
      </c>
      <c r="N51" s="209">
        <f t="shared" si="33"/>
        <v>482.11736607452826</v>
      </c>
      <c r="O51" s="210">
        <f t="shared" si="34"/>
        <v>433.15277253373699</v>
      </c>
      <c r="P51" s="208">
        <f t="shared" si="35"/>
        <v>455.25770164268278</v>
      </c>
      <c r="Q51" s="209">
        <f t="shared" si="36"/>
        <v>406.21814547223556</v>
      </c>
      <c r="R51" s="210">
        <f t="shared" si="37"/>
        <v>364.96199545239301</v>
      </c>
      <c r="S51" s="208">
        <f t="shared" si="38"/>
        <v>525.13633736785471</v>
      </c>
      <c r="T51" s="209">
        <f t="shared" si="39"/>
        <v>468.56957788070594</v>
      </c>
      <c r="U51" s="211">
        <f t="shared" si="40"/>
        <v>420.98091889230062</v>
      </c>
    </row>
    <row r="52" spans="1:27" x14ac:dyDescent="0.25">
      <c r="A52" s="125" t="str">
        <f>Advancement!A30</f>
        <v>F4</v>
      </c>
      <c r="B52" s="126">
        <f>Advancement!B30</f>
        <v>51494.5</v>
      </c>
      <c r="C52" s="126">
        <f>Advancement!C30</f>
        <v>51505.5</v>
      </c>
      <c r="D52" s="182">
        <f>Advancement!D30</f>
        <v>11</v>
      </c>
      <c r="E52" s="128" t="str">
        <f>Advancement!E30</f>
        <v>F4</v>
      </c>
      <c r="F52" s="129">
        <f>Advancement!F30</f>
        <v>0</v>
      </c>
      <c r="G52" s="130">
        <f>Advancement!G30</f>
        <v>1</v>
      </c>
      <c r="H52" s="130">
        <f>Advancement!H30</f>
        <v>0</v>
      </c>
      <c r="I52" s="131">
        <f>Advancement!I30</f>
        <v>0</v>
      </c>
      <c r="J52" s="183">
        <f>(F52*Models!$B$21+G52*Models!$C$21+H52*Models!$D$21+I52*Models!$E$21)</f>
        <v>0.20805555555555563</v>
      </c>
      <c r="K52" s="184">
        <f>(F52*Models!$B$22+G52*Models!$C$22+H52*Models!$D$22+I52*Models!$E$22)</f>
        <v>0.22500000000000001</v>
      </c>
      <c r="L52" s="185">
        <f>(F52*Models!$B$23+G52*Models!$C$23+H52*Models!$D$23+I52*Models!$E$23)</f>
        <v>0.28833333333333333</v>
      </c>
      <c r="M52" s="208">
        <f t="shared" si="32"/>
        <v>233.37606605882013</v>
      </c>
      <c r="N52" s="209">
        <f t="shared" si="33"/>
        <v>244.63064566846626</v>
      </c>
      <c r="O52" s="210">
        <f t="shared" si="34"/>
        <v>241.44297673173199</v>
      </c>
      <c r="P52" s="208">
        <f t="shared" si="35"/>
        <v>252.38266155893757</v>
      </c>
      <c r="Q52" s="209">
        <f t="shared" si="36"/>
        <v>264.55383576963635</v>
      </c>
      <c r="R52" s="210">
        <f t="shared" si="37"/>
        <v>261.10655694619874</v>
      </c>
      <c r="S52" s="208">
        <f t="shared" si="38"/>
        <v>323.42370703478662</v>
      </c>
      <c r="T52" s="209">
        <f t="shared" si="39"/>
        <v>339.02084139368208</v>
      </c>
      <c r="U52" s="211">
        <f t="shared" si="40"/>
        <v>334.60321741994346</v>
      </c>
      <c r="Y52" s="295" t="s">
        <v>123</v>
      </c>
      <c r="Z52" s="302" t="s">
        <v>124</v>
      </c>
      <c r="AA52" s="308" t="s">
        <v>125</v>
      </c>
    </row>
    <row r="53" spans="1:27" ht="12" thickBot="1" x14ac:dyDescent="0.3">
      <c r="A53" s="125">
        <f>Advancement!A31</f>
        <v>28</v>
      </c>
      <c r="B53" s="126">
        <f>Advancement!B31</f>
        <v>51505.5</v>
      </c>
      <c r="C53" s="126">
        <f>Advancement!C31</f>
        <v>51564</v>
      </c>
      <c r="D53" s="182">
        <f>Advancement!D31</f>
        <v>58.5</v>
      </c>
      <c r="E53" s="128" t="str">
        <f>Advancement!E31</f>
        <v>GB-G-GA-3</v>
      </c>
      <c r="F53" s="129">
        <f>Advancement!F31</f>
        <v>0</v>
      </c>
      <c r="G53" s="130">
        <f>Advancement!G31</f>
        <v>0</v>
      </c>
      <c r="H53" s="130">
        <f>Advancement!H31</f>
        <v>0.25</v>
      </c>
      <c r="I53" s="131">
        <f>Advancement!I31</f>
        <v>0.75</v>
      </c>
      <c r="J53" s="183">
        <f>(F53*Models!$B$21+G53*Models!$C$21+H53*Models!$D$21+I53*Models!$E$21)</f>
        <v>0.46608333333333357</v>
      </c>
      <c r="K53" s="184">
        <f>(F53*Models!$B$22+G53*Models!$C$22+H53*Models!$D$22+I53*Models!$E$22)</f>
        <v>0.39270833333333338</v>
      </c>
      <c r="L53" s="185">
        <f>(F53*Models!$B$23+G53*Models!$C$23+H53*Models!$D$23+I53*Models!$E$23)</f>
        <v>0.45298611111111109</v>
      </c>
      <c r="M53" s="208">
        <f t="shared" si="32"/>
        <v>540.31964462334759</v>
      </c>
      <c r="N53" s="209">
        <f t="shared" si="33"/>
        <v>482.11736607452838</v>
      </c>
      <c r="O53" s="210">
        <f t="shared" si="34"/>
        <v>433.15277253373699</v>
      </c>
      <c r="P53" s="208">
        <f t="shared" si="35"/>
        <v>455.25770164268283</v>
      </c>
      <c r="Q53" s="209">
        <f t="shared" si="36"/>
        <v>406.21814547223556</v>
      </c>
      <c r="R53" s="210">
        <f t="shared" si="37"/>
        <v>364.96199545239307</v>
      </c>
      <c r="S53" s="208">
        <f t="shared" si="38"/>
        <v>525.13633736785482</v>
      </c>
      <c r="T53" s="209">
        <f t="shared" si="39"/>
        <v>468.56957788070594</v>
      </c>
      <c r="U53" s="211">
        <f t="shared" si="40"/>
        <v>420.98091889230051</v>
      </c>
      <c r="Y53" s="296" t="s">
        <v>62</v>
      </c>
      <c r="Z53" s="303" t="s">
        <v>62</v>
      </c>
      <c r="AA53" s="309" t="s">
        <v>62</v>
      </c>
    </row>
    <row r="54" spans="1:27" x14ac:dyDescent="0.25">
      <c r="A54" s="125">
        <f>Advancement!A32</f>
        <v>29</v>
      </c>
      <c r="B54" s="126">
        <f>Advancement!B32</f>
        <v>51564</v>
      </c>
      <c r="C54" s="126">
        <f>Advancement!C32</f>
        <v>51639</v>
      </c>
      <c r="D54" s="182">
        <f>Advancement!D32</f>
        <v>75</v>
      </c>
      <c r="E54" s="128" t="str">
        <f>Advancement!E32</f>
        <v>GB-G-GA-4</v>
      </c>
      <c r="F54" s="129">
        <f>Advancement!F32</f>
        <v>0</v>
      </c>
      <c r="G54" s="130">
        <f>Advancement!G32</f>
        <v>0</v>
      </c>
      <c r="H54" s="130">
        <f>Advancement!H32</f>
        <v>0.45</v>
      </c>
      <c r="I54" s="131">
        <f>Advancement!I32</f>
        <v>0.55000000000000004</v>
      </c>
      <c r="J54" s="183">
        <f>(F54*Models!$B$21+G54*Models!$C$21+H54*Models!$D$21+I54*Models!$E$21)</f>
        <v>0.44001666666666694</v>
      </c>
      <c r="K54" s="184">
        <f>(F54*Models!$B$22+G54*Models!$C$22+H54*Models!$D$22+I54*Models!$E$22)</f>
        <v>0.38020833333333337</v>
      </c>
      <c r="L54" s="185">
        <f>(F54*Models!$B$23+G54*Models!$C$23+H54*Models!$D$23+I54*Models!$E$23)</f>
        <v>0.44448611111111114</v>
      </c>
      <c r="M54" s="208">
        <f t="shared" si="32"/>
        <v>536.04855035195465</v>
      </c>
      <c r="N54" s="209">
        <f t="shared" si="33"/>
        <v>516.31786051684173</v>
      </c>
      <c r="O54" s="210">
        <f t="shared" si="34"/>
        <v>486.61829623838082</v>
      </c>
      <c r="P54" s="208">
        <f t="shared" si="35"/>
        <v>463.18728665217071</v>
      </c>
      <c r="Q54" s="209">
        <f t="shared" si="36"/>
        <v>446.13844903755336</v>
      </c>
      <c r="R54" s="210">
        <f t="shared" si="37"/>
        <v>420.47573512132323</v>
      </c>
      <c r="S54" s="208">
        <f t="shared" si="38"/>
        <v>541.49343323212486</v>
      </c>
      <c r="T54" s="209">
        <f t="shared" si="39"/>
        <v>521.56233002918066</v>
      </c>
      <c r="U54" s="211">
        <f t="shared" si="40"/>
        <v>491.56109410366048</v>
      </c>
      <c r="W54" s="566" t="s">
        <v>117</v>
      </c>
      <c r="X54" s="567"/>
      <c r="Y54" s="297">
        <v>2</v>
      </c>
      <c r="Z54" s="304">
        <v>2.2000000000000002</v>
      </c>
      <c r="AA54" s="310">
        <v>2.5</v>
      </c>
    </row>
    <row r="55" spans="1:27" x14ac:dyDescent="0.25">
      <c r="A55" s="125" t="str">
        <f>Advancement!A33</f>
        <v>F6-F7</v>
      </c>
      <c r="B55" s="126">
        <f>Advancement!B33</f>
        <v>51639</v>
      </c>
      <c r="C55" s="126">
        <f>Advancement!C33</f>
        <v>51743</v>
      </c>
      <c r="D55" s="182">
        <f>Advancement!D33</f>
        <v>104</v>
      </c>
      <c r="E55" s="128" t="str">
        <f>Advancement!E33</f>
        <v>F6-F7</v>
      </c>
      <c r="F55" s="129">
        <f>Advancement!F33</f>
        <v>0</v>
      </c>
      <c r="G55" s="130">
        <f>Advancement!G33</f>
        <v>1</v>
      </c>
      <c r="H55" s="130">
        <f>Advancement!H33</f>
        <v>0</v>
      </c>
      <c r="I55" s="131">
        <f>Advancement!I33</f>
        <v>0</v>
      </c>
      <c r="J55" s="183">
        <f>(F55*Models!$B$21+G55*Models!$C$21+H55*Models!$D$21+I55*Models!$E$21)</f>
        <v>0.20805555555555563</v>
      </c>
      <c r="K55" s="184">
        <f>(F55*Models!$B$22+G55*Models!$C$22+H55*Models!$D$22+I55*Models!$E$22)</f>
        <v>0.22500000000000001</v>
      </c>
      <c r="L55" s="185">
        <f>(F55*Models!$B$23+G55*Models!$C$23+H55*Models!$D$23+I55*Models!$E$23)</f>
        <v>0.28833333333333333</v>
      </c>
      <c r="M55" s="208">
        <f t="shared" si="32"/>
        <v>241.23296041503568</v>
      </c>
      <c r="N55" s="209">
        <f t="shared" si="33"/>
        <v>251.89422758354829</v>
      </c>
      <c r="O55" s="210">
        <f t="shared" si="34"/>
        <v>248.23366130495921</v>
      </c>
      <c r="P55" s="208">
        <f t="shared" si="35"/>
        <v>260.87943649690101</v>
      </c>
      <c r="Q55" s="209">
        <f t="shared" si="36"/>
        <v>272.40897776057955</v>
      </c>
      <c r="R55" s="210">
        <f t="shared" si="37"/>
        <v>268.45028792659127</v>
      </c>
      <c r="S55" s="208">
        <f t="shared" si="38"/>
        <v>334.31216677010264</v>
      </c>
      <c r="T55" s="209">
        <f t="shared" si="39"/>
        <v>349.08706038948338</v>
      </c>
      <c r="U55" s="211">
        <f t="shared" si="40"/>
        <v>344.0140726762985</v>
      </c>
      <c r="W55" s="568" t="s">
        <v>122</v>
      </c>
      <c r="X55" s="569"/>
      <c r="Y55" s="298">
        <v>1</v>
      </c>
      <c r="Z55" s="305">
        <v>1</v>
      </c>
      <c r="AA55" s="311">
        <v>1</v>
      </c>
    </row>
    <row r="56" spans="1:27" ht="12" thickBot="1" x14ac:dyDescent="0.3">
      <c r="A56" s="125">
        <f>Advancement!A34</f>
        <v>30</v>
      </c>
      <c r="B56" s="126">
        <f>Advancement!B34</f>
        <v>51743</v>
      </c>
      <c r="C56" s="126">
        <f>Advancement!C34</f>
        <v>51980.5</v>
      </c>
      <c r="D56" s="182">
        <f>Advancement!D34</f>
        <v>237.5</v>
      </c>
      <c r="E56" s="128" t="str">
        <f>Advancement!E34</f>
        <v>GB-G-GA-5</v>
      </c>
      <c r="F56" s="129">
        <f>Advancement!F34</f>
        <v>0</v>
      </c>
      <c r="G56" s="130">
        <f>Advancement!G34</f>
        <v>0</v>
      </c>
      <c r="H56" s="130">
        <f>Advancement!H34</f>
        <v>0.3</v>
      </c>
      <c r="I56" s="131">
        <f>Advancement!I34</f>
        <v>0.7</v>
      </c>
      <c r="J56" s="183">
        <f>(F56*Models!$B$21+G56*Models!$C$21+H56*Models!$D$21+I56*Models!$E$21)</f>
        <v>0.4595666666666669</v>
      </c>
      <c r="K56" s="184">
        <f>(F56*Models!$B$22+G56*Models!$C$22+H56*Models!$D$22+I56*Models!$E$22)</f>
        <v>0.38958333333333334</v>
      </c>
      <c r="L56" s="185">
        <f>(F56*Models!$B$23+G56*Models!$C$23+H56*Models!$D$23+I56*Models!$E$23)</f>
        <v>0.4508611111111111</v>
      </c>
      <c r="M56" s="208">
        <f t="shared" si="32"/>
        <v>542.13447954178969</v>
      </c>
      <c r="N56" s="209">
        <f t="shared" si="33"/>
        <v>504.43020677892105</v>
      </c>
      <c r="O56" s="210">
        <f t="shared" si="34"/>
        <v>463.65165006694338</v>
      </c>
      <c r="P56" s="208">
        <f t="shared" si="35"/>
        <v>459.57762599874263</v>
      </c>
      <c r="Q56" s="209">
        <f t="shared" si="36"/>
        <v>427.61500266400503</v>
      </c>
      <c r="R56" s="210">
        <f t="shared" si="37"/>
        <v>393.0462508274025</v>
      </c>
      <c r="S56" s="208">
        <f t="shared" si="38"/>
        <v>531.86484474763574</v>
      </c>
      <c r="T56" s="209">
        <f t="shared" si="39"/>
        <v>494.87480272652152</v>
      </c>
      <c r="U56" s="211">
        <f t="shared" si="40"/>
        <v>454.86871281137741</v>
      </c>
      <c r="W56" s="570" t="s">
        <v>119</v>
      </c>
      <c r="X56" s="571"/>
      <c r="Y56" s="299">
        <v>2</v>
      </c>
      <c r="Z56" s="306">
        <v>2.8</v>
      </c>
      <c r="AA56" s="312">
        <v>3</v>
      </c>
    </row>
    <row r="57" spans="1:27" ht="12" thickBot="1" x14ac:dyDescent="0.3">
      <c r="A57" s="141" t="str">
        <f>Advancement!A35</f>
        <v>F9</v>
      </c>
      <c r="B57" s="142">
        <f>Advancement!B35</f>
        <v>51980.5</v>
      </c>
      <c r="C57" s="142">
        <f>Advancement!C35</f>
        <v>52003.5</v>
      </c>
      <c r="D57" s="182">
        <f>Advancement!D35</f>
        <v>23</v>
      </c>
      <c r="E57" s="143" t="str">
        <f>Advancement!E35</f>
        <v>F9</v>
      </c>
      <c r="F57" s="144">
        <f>Advancement!F35</f>
        <v>0</v>
      </c>
      <c r="G57" s="145">
        <f>Advancement!G35</f>
        <v>1</v>
      </c>
      <c r="H57" s="145">
        <f>Advancement!H35</f>
        <v>0</v>
      </c>
      <c r="I57" s="146">
        <f>Advancement!I35</f>
        <v>0</v>
      </c>
      <c r="J57" s="183">
        <f>(F57*Models!$B$21+G57*Models!$C$21+H57*Models!$D$21+I57*Models!$E$21)</f>
        <v>0.20805555555555563</v>
      </c>
      <c r="K57" s="184">
        <f>(F57*Models!$B$22+G57*Models!$C$22+H57*Models!$D$22+I57*Models!$E$22)</f>
        <v>0.22500000000000001</v>
      </c>
      <c r="L57" s="185">
        <f>(F57*Models!$B$23+G57*Models!$C$23+H57*Models!$D$23+I57*Models!$E$23)</f>
        <v>0.28833333333333333</v>
      </c>
      <c r="M57" s="208">
        <f t="shared" si="32"/>
        <v>235.41183900892449</v>
      </c>
      <c r="N57" s="209">
        <f t="shared" si="33"/>
        <v>245.91791419113957</v>
      </c>
      <c r="O57" s="210">
        <f t="shared" si="34"/>
        <v>242.30516784827506</v>
      </c>
      <c r="P57" s="208">
        <f t="shared" si="35"/>
        <v>254.58423177200103</v>
      </c>
      <c r="Q57" s="209">
        <f t="shared" si="36"/>
        <v>265.94594191565153</v>
      </c>
      <c r="R57" s="210">
        <f t="shared" si="37"/>
        <v>262.03896656489019</v>
      </c>
      <c r="S57" s="208">
        <f t="shared" si="38"/>
        <v>326.24497849300877</v>
      </c>
      <c r="T57" s="209">
        <f t="shared" si="39"/>
        <v>340.80479964005713</v>
      </c>
      <c r="U57" s="211">
        <f t="shared" si="40"/>
        <v>335.79808307945183</v>
      </c>
      <c r="W57" s="572" t="s">
        <v>126</v>
      </c>
      <c r="X57" s="573"/>
      <c r="Y57" s="300">
        <f>SUM(Y54:Y56)</f>
        <v>5</v>
      </c>
      <c r="Z57" s="307">
        <f>SUM(Z54:Z56)</f>
        <v>6</v>
      </c>
      <c r="AA57" s="313">
        <f>SUM(AA54:AA56)</f>
        <v>6.5</v>
      </c>
    </row>
    <row r="58" spans="1:27" ht="12" thickBot="1" x14ac:dyDescent="0.3">
      <c r="A58" s="141">
        <f>Advancement!A36</f>
        <v>30</v>
      </c>
      <c r="B58" s="142">
        <f>Advancement!B36</f>
        <v>52003.5</v>
      </c>
      <c r="C58" s="142">
        <f>Advancement!C36</f>
        <v>52363.5</v>
      </c>
      <c r="D58" s="182">
        <f>Advancement!D36</f>
        <v>360</v>
      </c>
      <c r="E58" s="143" t="str">
        <f>Advancement!E36</f>
        <v>GB-G-GA-5</v>
      </c>
      <c r="F58" s="144">
        <f>Advancement!F36</f>
        <v>0</v>
      </c>
      <c r="G58" s="145">
        <f>Advancement!G36</f>
        <v>0</v>
      </c>
      <c r="H58" s="145">
        <f>Advancement!H36</f>
        <v>0.3</v>
      </c>
      <c r="I58" s="146">
        <f>Advancement!I36</f>
        <v>0.7</v>
      </c>
      <c r="J58" s="183">
        <f>(F58*Models!$B$21+G58*Models!$C$21+H58*Models!$D$21+I58*Models!$E$21)</f>
        <v>0.4595666666666669</v>
      </c>
      <c r="K58" s="184">
        <f>(F58*Models!$B$22+G58*Models!$C$22+H58*Models!$D$22+I58*Models!$E$22)</f>
        <v>0.38958333333333334</v>
      </c>
      <c r="L58" s="185">
        <f>(F58*Models!$B$23+G58*Models!$C$23+H58*Models!$D$23+I58*Models!$E$23)</f>
        <v>0.4508611111111111</v>
      </c>
      <c r="M58" s="208">
        <f t="shared" si="32"/>
        <v>542.1344795417898</v>
      </c>
      <c r="N58" s="209">
        <f t="shared" si="33"/>
        <v>504.43020677892116</v>
      </c>
      <c r="O58" s="210">
        <f t="shared" si="34"/>
        <v>463.65165006694338</v>
      </c>
      <c r="P58" s="208">
        <f t="shared" si="35"/>
        <v>459.57762599874258</v>
      </c>
      <c r="Q58" s="209">
        <f t="shared" si="36"/>
        <v>427.61500266400509</v>
      </c>
      <c r="R58" s="210">
        <f t="shared" si="37"/>
        <v>393.04625082740245</v>
      </c>
      <c r="S58" s="208">
        <f t="shared" si="38"/>
        <v>531.86484474763574</v>
      </c>
      <c r="T58" s="209">
        <f t="shared" si="39"/>
        <v>494.87480272652164</v>
      </c>
      <c r="U58" s="211">
        <f t="shared" si="40"/>
        <v>454.86871281137746</v>
      </c>
    </row>
    <row r="59" spans="1:27" ht="12" thickBot="1" x14ac:dyDescent="0.3">
      <c r="A59" s="141" t="str">
        <f>Advancement!A37</f>
        <v>F11</v>
      </c>
      <c r="B59" s="142">
        <f>Advancement!B37</f>
        <v>52363.5</v>
      </c>
      <c r="C59" s="142">
        <f>Advancement!C37</f>
        <v>52392.5</v>
      </c>
      <c r="D59" s="182">
        <f>Advancement!D37</f>
        <v>29</v>
      </c>
      <c r="E59" s="143" t="str">
        <f>Advancement!E37</f>
        <v>F11</v>
      </c>
      <c r="F59" s="144">
        <f>Advancement!F37</f>
        <v>0</v>
      </c>
      <c r="G59" s="145">
        <f>Advancement!G37</f>
        <v>1</v>
      </c>
      <c r="H59" s="145">
        <f>Advancement!H37</f>
        <v>0</v>
      </c>
      <c r="I59" s="146">
        <f>Advancement!I37</f>
        <v>0</v>
      </c>
      <c r="J59" s="183">
        <f>(F59*Models!$B$21+G59*Models!$C$21+H59*Models!$D$21+I59*Models!$E$21)</f>
        <v>0.20805555555555563</v>
      </c>
      <c r="K59" s="184">
        <f>(F59*Models!$B$22+G59*Models!$C$22+H59*Models!$D$22+I59*Models!$E$22)</f>
        <v>0.22500000000000001</v>
      </c>
      <c r="L59" s="185">
        <f>(F59*Models!$B$23+G59*Models!$C$23+H59*Models!$D$23+I59*Models!$E$23)</f>
        <v>0.28833333333333333</v>
      </c>
      <c r="M59" s="208">
        <f t="shared" si="32"/>
        <v>235.41183900892446</v>
      </c>
      <c r="N59" s="209">
        <f t="shared" si="33"/>
        <v>245.9179141911396</v>
      </c>
      <c r="O59" s="210">
        <f t="shared" si="34"/>
        <v>242.30516784827509</v>
      </c>
      <c r="P59" s="208">
        <f t="shared" si="35"/>
        <v>254.584231772001</v>
      </c>
      <c r="Q59" s="209">
        <f t="shared" si="36"/>
        <v>265.94594191565159</v>
      </c>
      <c r="R59" s="210">
        <f t="shared" si="37"/>
        <v>262.03896656489025</v>
      </c>
      <c r="S59" s="208">
        <f t="shared" si="38"/>
        <v>326.24497849300877</v>
      </c>
      <c r="T59" s="209">
        <f t="shared" si="39"/>
        <v>340.80479964005718</v>
      </c>
      <c r="U59" s="211">
        <f t="shared" si="40"/>
        <v>335.79808307945189</v>
      </c>
      <c r="Y59" s="554" t="str">
        <f>Advancement!L111</f>
        <v>Differenza tempi</v>
      </c>
      <c r="Z59" s="555"/>
      <c r="AA59" s="556"/>
    </row>
    <row r="60" spans="1:27" x14ac:dyDescent="0.25">
      <c r="A60" s="141">
        <f>Advancement!A38</f>
        <v>31</v>
      </c>
      <c r="B60" s="142">
        <f>Advancement!B38</f>
        <v>52392.5</v>
      </c>
      <c r="C60" s="142">
        <f>Advancement!C38</f>
        <v>52490.5</v>
      </c>
      <c r="D60" s="182">
        <f>Advancement!D38</f>
        <v>98</v>
      </c>
      <c r="E60" s="143" t="str">
        <f>Advancement!E38</f>
        <v>GB-G-GA-6</v>
      </c>
      <c r="F60" s="144">
        <f>Advancement!F38</f>
        <v>0</v>
      </c>
      <c r="G60" s="145">
        <f>Advancement!G38</f>
        <v>0</v>
      </c>
      <c r="H60" s="145">
        <f>Advancement!H38</f>
        <v>0.5</v>
      </c>
      <c r="I60" s="146">
        <f>Advancement!I38</f>
        <v>0.5</v>
      </c>
      <c r="J60" s="183">
        <f>(F60*Models!$B$21+G60*Models!$C$21+H60*Models!$D$21+I60*Models!$E$21)</f>
        <v>0.43350000000000022</v>
      </c>
      <c r="K60" s="184">
        <f>(F60*Models!$B$22+G60*Models!$C$22+H60*Models!$D$22+I60*Models!$E$22)</f>
        <v>0.37708333333333338</v>
      </c>
      <c r="L60" s="185">
        <f>(F60*Models!$B$23+G60*Models!$C$23+H60*Models!$D$23+I60*Models!$E$23)</f>
        <v>0.44236111111111109</v>
      </c>
      <c r="M60" s="208">
        <f t="shared" si="32"/>
        <v>516.23111467825481</v>
      </c>
      <c r="N60" s="209">
        <f t="shared" si="33"/>
        <v>485.30289307197444</v>
      </c>
      <c r="O60" s="210">
        <f t="shared" si="34"/>
        <v>450.04958669579059</v>
      </c>
      <c r="P60" s="208">
        <f t="shared" si="35"/>
        <v>449.04763435584437</v>
      </c>
      <c r="Q60" s="209">
        <f t="shared" si="36"/>
        <v>422.14448119005846</v>
      </c>
      <c r="R60" s="210">
        <f t="shared" si="37"/>
        <v>391.47911953065204</v>
      </c>
      <c r="S60" s="208">
        <f t="shared" si="38"/>
        <v>526.7833205979241</v>
      </c>
      <c r="T60" s="209">
        <f t="shared" si="39"/>
        <v>495.22289966494878</v>
      </c>
      <c r="U60" s="211">
        <f t="shared" si="40"/>
        <v>459.24898552675018</v>
      </c>
      <c r="Y60" s="288" t="str">
        <f>Advancement!L112</f>
        <v>S - O</v>
      </c>
      <c r="Z60" s="289" t="str">
        <f>Advancement!M112</f>
        <v>DS - O</v>
      </c>
      <c r="AA60" s="290" t="str">
        <f>Advancement!N112</f>
        <v>S - DS</v>
      </c>
    </row>
    <row r="61" spans="1:27" ht="12" thickBot="1" x14ac:dyDescent="0.3">
      <c r="A61" s="141" t="str">
        <f>Advancement!A39</f>
        <v>F12</v>
      </c>
      <c r="B61" s="142">
        <f>Advancement!B39</f>
        <v>52490.5</v>
      </c>
      <c r="C61" s="142">
        <f>Advancement!C39</f>
        <v>52511.5</v>
      </c>
      <c r="D61" s="182">
        <f>Advancement!D39</f>
        <v>21</v>
      </c>
      <c r="E61" s="143" t="str">
        <f>Advancement!E39</f>
        <v>F12</v>
      </c>
      <c r="F61" s="144">
        <f>Advancement!F39</f>
        <v>0</v>
      </c>
      <c r="G61" s="145">
        <f>Advancement!G39</f>
        <v>1</v>
      </c>
      <c r="H61" s="145">
        <f>Advancement!H39</f>
        <v>0</v>
      </c>
      <c r="I61" s="146">
        <f>Advancement!I39</f>
        <v>0</v>
      </c>
      <c r="J61" s="183">
        <f>(F61*Models!$B$21+G61*Models!$C$21+H61*Models!$D$21+I61*Models!$E$21)</f>
        <v>0.20805555555555563</v>
      </c>
      <c r="K61" s="184">
        <f>(F61*Models!$B$22+G61*Models!$C$22+H61*Models!$D$22+I61*Models!$E$22)</f>
        <v>0.22500000000000001</v>
      </c>
      <c r="L61" s="185">
        <f>(F61*Models!$B$23+G61*Models!$C$23+H61*Models!$D$23+I61*Models!$E$23)</f>
        <v>0.28833333333333333</v>
      </c>
      <c r="M61" s="208">
        <f t="shared" si="32"/>
        <v>234.98044011199076</v>
      </c>
      <c r="N61" s="209">
        <f t="shared" si="33"/>
        <v>247.01741551689662</v>
      </c>
      <c r="O61" s="210">
        <f t="shared" si="34"/>
        <v>244.24559411758756</v>
      </c>
      <c r="P61" s="208">
        <f t="shared" si="35"/>
        <v>254.11769891950928</v>
      </c>
      <c r="Q61" s="209">
        <f t="shared" si="36"/>
        <v>267.13498874323926</v>
      </c>
      <c r="R61" s="210">
        <f t="shared" si="37"/>
        <v>264.137424880168</v>
      </c>
      <c r="S61" s="208">
        <f t="shared" si="38"/>
        <v>325.64712528203779</v>
      </c>
      <c r="T61" s="209">
        <f t="shared" si="39"/>
        <v>342.32854113022506</v>
      </c>
      <c r="U61" s="211">
        <f t="shared" si="40"/>
        <v>338.48721855014128</v>
      </c>
      <c r="Y61" s="292" t="str">
        <f>Advancement!L113</f>
        <v>[M]</v>
      </c>
      <c r="Z61" s="293" t="str">
        <f>Advancement!M113</f>
        <v>[M]</v>
      </c>
      <c r="AA61" s="294" t="str">
        <f>Advancement!N113</f>
        <v>[M]</v>
      </c>
    </row>
    <row r="62" spans="1:27" ht="12" thickBot="1" x14ac:dyDescent="0.3">
      <c r="A62" s="147">
        <f>Advancement!A40</f>
        <v>31</v>
      </c>
      <c r="B62" s="148">
        <f>Advancement!B40</f>
        <v>52511.5</v>
      </c>
      <c r="C62" s="148">
        <f>Advancement!C40</f>
        <v>52622.5</v>
      </c>
      <c r="D62" s="187">
        <f>Advancement!D40</f>
        <v>111</v>
      </c>
      <c r="E62" s="149" t="str">
        <f>Advancement!E40</f>
        <v>GB-G-GA-6</v>
      </c>
      <c r="F62" s="150">
        <f>Advancement!F40</f>
        <v>0</v>
      </c>
      <c r="G62" s="151">
        <f>Advancement!G40</f>
        <v>0</v>
      </c>
      <c r="H62" s="151">
        <f>Advancement!H40</f>
        <v>0.5</v>
      </c>
      <c r="I62" s="152">
        <f>Advancement!I40</f>
        <v>0.5</v>
      </c>
      <c r="J62" s="183">
        <f>(F62*Models!$B$21+G62*Models!$C$21+H62*Models!$D$21+I62*Models!$E$21)</f>
        <v>0.43350000000000022</v>
      </c>
      <c r="K62" s="184">
        <f>(F62*Models!$B$22+G62*Models!$C$22+H62*Models!$D$22+I62*Models!$E$22)</f>
        <v>0.37708333333333338</v>
      </c>
      <c r="L62" s="185">
        <f>(F62*Models!$B$23+G62*Models!$C$23+H62*Models!$D$23+I62*Models!$E$23)</f>
        <v>0.44236111111111109</v>
      </c>
      <c r="M62" s="208">
        <f t="shared" si="32"/>
        <v>516.23111467825493</v>
      </c>
      <c r="N62" s="209">
        <f t="shared" si="33"/>
        <v>485.30289307197455</v>
      </c>
      <c r="O62" s="210">
        <f t="shared" si="34"/>
        <v>450.04958669579065</v>
      </c>
      <c r="P62" s="208">
        <f t="shared" si="35"/>
        <v>449.04763435584437</v>
      </c>
      <c r="Q62" s="209">
        <f t="shared" si="36"/>
        <v>422.14448119005846</v>
      </c>
      <c r="R62" s="210">
        <f t="shared" si="37"/>
        <v>391.47911953065204</v>
      </c>
      <c r="S62" s="208">
        <f t="shared" si="38"/>
        <v>526.78332059792422</v>
      </c>
      <c r="T62" s="209">
        <f t="shared" si="39"/>
        <v>495.22289966494873</v>
      </c>
      <c r="U62" s="211">
        <f t="shared" si="40"/>
        <v>459.24898552675012</v>
      </c>
      <c r="Y62" s="328">
        <f>Advancement!L114</f>
        <v>3.6005120341019392</v>
      </c>
      <c r="Z62" s="329">
        <f>Advancement!M114</f>
        <v>1.9213387066512801</v>
      </c>
      <c r="AA62" s="330">
        <f>Advancement!N114</f>
        <v>1.6791733274506591</v>
      </c>
    </row>
    <row r="63" spans="1:27" ht="12" thickBot="1" x14ac:dyDescent="0.3">
      <c r="A63" s="162"/>
      <c r="B63" s="163"/>
      <c r="C63" s="163"/>
      <c r="D63" s="188">
        <f>Advancement!D41</f>
        <v>3504.5</v>
      </c>
      <c r="E63" s="162"/>
      <c r="F63" s="165"/>
      <c r="G63" s="165"/>
      <c r="H63" s="165"/>
      <c r="I63" s="165"/>
      <c r="K63" s="212" t="s">
        <v>78</v>
      </c>
      <c r="L63" s="213" t="str">
        <f>Advancement!U42</f>
        <v>[m/M]</v>
      </c>
      <c r="M63" s="195">
        <f>Advancement!V42</f>
        <v>510.23245196629244</v>
      </c>
      <c r="N63" s="196">
        <f>Advancement!W42</f>
        <v>467.79412197272887</v>
      </c>
      <c r="O63" s="197">
        <f>Advancement!X42</f>
        <v>428.34809633732937</v>
      </c>
      <c r="P63" s="198">
        <f>Advancement!Y42</f>
        <v>441.76175899531512</v>
      </c>
      <c r="Q63" s="199">
        <f>Advancement!Z42</f>
        <v>403.58751252709845</v>
      </c>
      <c r="R63" s="200">
        <f>Advancement!AA42</f>
        <v>368.91776260678074</v>
      </c>
      <c r="S63" s="201">
        <f>Advancement!AB42</f>
        <v>514.59037572499608</v>
      </c>
      <c r="T63" s="202">
        <f>Advancement!AC42</f>
        <v>469.48980740524831</v>
      </c>
      <c r="U63" s="203">
        <f>Advancement!AD42</f>
        <v>428.88181499823241</v>
      </c>
    </row>
    <row r="64" spans="1:27" x14ac:dyDescent="0.25">
      <c r="K64" s="95"/>
      <c r="L64" s="95"/>
      <c r="M64" s="95"/>
    </row>
    <row r="65" spans="1:30" x14ac:dyDescent="0.25">
      <c r="A65" s="274" t="s">
        <v>116</v>
      </c>
      <c r="K65" s="95"/>
      <c r="L65" s="95"/>
      <c r="M65" s="95"/>
    </row>
    <row r="66" spans="1:30" x14ac:dyDescent="0.25">
      <c r="K66" s="95"/>
      <c r="L66" s="95"/>
      <c r="M66" s="95"/>
    </row>
    <row r="67" spans="1:30" x14ac:dyDescent="0.25">
      <c r="K67" s="95"/>
      <c r="L67" s="95"/>
      <c r="M67" s="95"/>
    </row>
    <row r="68" spans="1:30" ht="12" thickBot="1" x14ac:dyDescent="0.3">
      <c r="K68" s="95"/>
      <c r="L68" s="95"/>
      <c r="M68" s="95"/>
    </row>
    <row r="69" spans="1:30" ht="12" customHeight="1" thickBot="1" x14ac:dyDescent="0.3">
      <c r="A69" s="542" t="s">
        <v>3</v>
      </c>
      <c r="B69" s="545" t="s">
        <v>19</v>
      </c>
      <c r="C69" s="545" t="s">
        <v>20</v>
      </c>
      <c r="D69" s="548" t="s">
        <v>4</v>
      </c>
      <c r="E69" s="551" t="s">
        <v>104</v>
      </c>
      <c r="F69" s="604" t="s">
        <v>85</v>
      </c>
      <c r="K69" s="95"/>
      <c r="L69" s="95"/>
      <c r="M69" s="95"/>
    </row>
    <row r="70" spans="1:30" ht="12" thickBot="1" x14ac:dyDescent="0.3">
      <c r="A70" s="543"/>
      <c r="B70" s="546"/>
      <c r="C70" s="546"/>
      <c r="D70" s="549"/>
      <c r="E70" s="552"/>
      <c r="F70" s="605"/>
      <c r="G70" s="534" t="s">
        <v>1</v>
      </c>
      <c r="H70" s="534"/>
      <c r="I70" s="535"/>
      <c r="J70" s="533" t="s">
        <v>21</v>
      </c>
      <c r="K70" s="534"/>
      <c r="L70" s="535"/>
      <c r="M70" s="533" t="s">
        <v>2</v>
      </c>
      <c r="N70" s="534"/>
      <c r="O70" s="534"/>
      <c r="P70" s="336" t="s">
        <v>130</v>
      </c>
      <c r="Z70" s="295" t="s">
        <v>123</v>
      </c>
      <c r="AA70" s="302" t="s">
        <v>124</v>
      </c>
      <c r="AB70" s="308" t="s">
        <v>125</v>
      </c>
    </row>
    <row r="71" spans="1:30" ht="12" thickBot="1" x14ac:dyDescent="0.3">
      <c r="A71" s="543"/>
      <c r="B71" s="546"/>
      <c r="C71" s="546"/>
      <c r="D71" s="549"/>
      <c r="E71" s="552"/>
      <c r="F71" s="605"/>
      <c r="G71" s="539" t="s">
        <v>63</v>
      </c>
      <c r="H71" s="539"/>
      <c r="I71" s="540"/>
      <c r="J71" s="541" t="s">
        <v>63</v>
      </c>
      <c r="K71" s="539"/>
      <c r="L71" s="540"/>
      <c r="M71" s="541" t="s">
        <v>63</v>
      </c>
      <c r="N71" s="539"/>
      <c r="O71" s="539"/>
      <c r="P71" s="337" t="s">
        <v>63</v>
      </c>
      <c r="Z71" s="296" t="s">
        <v>62</v>
      </c>
      <c r="AA71" s="303" t="s">
        <v>62</v>
      </c>
      <c r="AB71" s="309" t="s">
        <v>62</v>
      </c>
    </row>
    <row r="72" spans="1:30" ht="12" thickBot="1" x14ac:dyDescent="0.3">
      <c r="A72" s="544"/>
      <c r="B72" s="547"/>
      <c r="C72" s="547"/>
      <c r="D72" s="550"/>
      <c r="E72" s="553"/>
      <c r="F72" s="606"/>
      <c r="G72" s="214" t="s">
        <v>65</v>
      </c>
      <c r="H72" s="215" t="s">
        <v>66</v>
      </c>
      <c r="I72" s="216" t="s">
        <v>67</v>
      </c>
      <c r="J72" s="217" t="s">
        <v>65</v>
      </c>
      <c r="K72" s="215" t="s">
        <v>66</v>
      </c>
      <c r="L72" s="216" t="s">
        <v>67</v>
      </c>
      <c r="M72" s="217" t="s">
        <v>65</v>
      </c>
      <c r="N72" s="215" t="s">
        <v>66</v>
      </c>
      <c r="O72" s="331" t="s">
        <v>67</v>
      </c>
      <c r="P72" s="338" t="s">
        <v>66</v>
      </c>
      <c r="X72" s="566" t="s">
        <v>117</v>
      </c>
      <c r="Y72" s="567"/>
      <c r="Z72" s="297">
        <v>2</v>
      </c>
      <c r="AA72" s="304">
        <v>2.2000000000000002</v>
      </c>
      <c r="AB72" s="310">
        <v>2.5</v>
      </c>
    </row>
    <row r="73" spans="1:30" x14ac:dyDescent="0.25">
      <c r="A73" s="320"/>
      <c r="B73" s="321"/>
      <c r="C73" s="110">
        <f>B75</f>
        <v>49118</v>
      </c>
      <c r="D73" s="322"/>
      <c r="E73" s="323"/>
      <c r="F73" s="286">
        <v>0</v>
      </c>
      <c r="G73" s="120">
        <v>0</v>
      </c>
      <c r="H73" s="123">
        <v>0</v>
      </c>
      <c r="I73" s="219">
        <v>0</v>
      </c>
      <c r="J73" s="284">
        <v>0</v>
      </c>
      <c r="K73" s="121">
        <v>0</v>
      </c>
      <c r="L73" s="219">
        <v>0</v>
      </c>
      <c r="M73" s="284">
        <v>0</v>
      </c>
      <c r="N73" s="121">
        <v>0</v>
      </c>
      <c r="O73" s="332">
        <v>0</v>
      </c>
      <c r="P73" s="335">
        <v>0</v>
      </c>
      <c r="X73" s="568" t="s">
        <v>122</v>
      </c>
      <c r="Y73" s="569"/>
      <c r="Z73" s="298">
        <v>1</v>
      </c>
      <c r="AA73" s="305">
        <v>1</v>
      </c>
      <c r="AB73" s="311">
        <v>1</v>
      </c>
    </row>
    <row r="74" spans="1:30" ht="12" thickBot="1" x14ac:dyDescent="0.3">
      <c r="A74" s="221"/>
      <c r="B74" s="222"/>
      <c r="C74" s="218">
        <f>B75</f>
        <v>49118</v>
      </c>
      <c r="D74" s="222"/>
      <c r="E74" s="223"/>
      <c r="F74" s="224">
        <v>0</v>
      </c>
      <c r="G74" s="136">
        <v>5</v>
      </c>
      <c r="H74" s="139">
        <v>5</v>
      </c>
      <c r="I74" s="225">
        <v>5</v>
      </c>
      <c r="J74" s="285">
        <v>5</v>
      </c>
      <c r="K74" s="137">
        <v>5</v>
      </c>
      <c r="L74" s="225">
        <v>5</v>
      </c>
      <c r="M74" s="285">
        <v>5</v>
      </c>
      <c r="N74" s="137">
        <v>5</v>
      </c>
      <c r="O74" s="333">
        <v>5</v>
      </c>
      <c r="P74" s="334">
        <v>5</v>
      </c>
      <c r="X74" s="570" t="s">
        <v>119</v>
      </c>
      <c r="Y74" s="571"/>
      <c r="Z74" s="299">
        <v>2</v>
      </c>
      <c r="AA74" s="306">
        <v>2.8</v>
      </c>
      <c r="AB74" s="312">
        <v>3</v>
      </c>
    </row>
    <row r="75" spans="1:30" ht="12" thickBot="1" x14ac:dyDescent="0.3">
      <c r="A75" s="227">
        <v>26</v>
      </c>
      <c r="B75" s="126">
        <f>Advancement!B27</f>
        <v>49118</v>
      </c>
      <c r="C75" s="126">
        <f>Advancement!C27</f>
        <v>50323</v>
      </c>
      <c r="D75" s="186">
        <f>C75-B75</f>
        <v>1205</v>
      </c>
      <c r="E75" s="228" t="s">
        <v>13</v>
      </c>
      <c r="F75" s="134">
        <f>F74+D75</f>
        <v>1205</v>
      </c>
      <c r="G75" s="136">
        <f t="shared" ref="G75:G88" si="41">G74+(D75/O49)</f>
        <v>7.6597790146742435</v>
      </c>
      <c r="H75" s="139">
        <f t="shared" ref="H75:H88" si="42">H74+(D75/N49)</f>
        <v>7.4113063019487582</v>
      </c>
      <c r="I75" s="225">
        <f t="shared" ref="I75:I88" si="43">I74+($D75/M49)</f>
        <v>7.1302976030858414</v>
      </c>
      <c r="J75" s="285">
        <f t="shared" ref="J75:J88" si="44">J74+($D75/R49)</f>
        <v>8.1941793142492134</v>
      </c>
      <c r="K75" s="137">
        <f t="shared" ref="K75:K88" si="45">K74+($D75/Q49)</f>
        <v>7.8957836976342968</v>
      </c>
      <c r="L75" s="225">
        <f t="shared" ref="L75:L88" si="46">L74+($D75/P49)</f>
        <v>7.5583149951293462</v>
      </c>
      <c r="M75" s="285">
        <f t="shared" ref="M75:M88" si="47">M74+($D75/U49)</f>
        <v>7.7870599557063471</v>
      </c>
      <c r="N75" s="137">
        <f t="shared" ref="N75:N88" si="48">N74+($D75/T49)</f>
        <v>7.5266968413640285</v>
      </c>
      <c r="O75" s="333">
        <f t="shared" ref="O75:O88" si="49">O74+($D75/S49)</f>
        <v>7.2322407653197196</v>
      </c>
      <c r="P75" s="334">
        <f>P74+D75/450</f>
        <v>7.6777777777777771</v>
      </c>
      <c r="X75" s="572" t="s">
        <v>126</v>
      </c>
      <c r="Y75" s="573"/>
      <c r="Z75" s="300">
        <f>SUM(Z72:Z74)</f>
        <v>5</v>
      </c>
      <c r="AA75" s="307">
        <f>SUM(AA72:AA74)</f>
        <v>6</v>
      </c>
      <c r="AB75" s="313">
        <f>SUM(AB72:AB74)</f>
        <v>6.5</v>
      </c>
    </row>
    <row r="76" spans="1:30" x14ac:dyDescent="0.25">
      <c r="A76" s="125">
        <f>Advancement!A28</f>
        <v>27</v>
      </c>
      <c r="B76" s="126">
        <f>Advancement!B28</f>
        <v>50323</v>
      </c>
      <c r="C76" s="126">
        <f>Advancement!C28</f>
        <v>50395</v>
      </c>
      <c r="D76" s="182">
        <f>Advancement!D28</f>
        <v>72</v>
      </c>
      <c r="E76" s="128" t="str">
        <f>Advancement!E28</f>
        <v>GB-G-GA-2</v>
      </c>
      <c r="F76" s="134">
        <f t="shared" ref="F76:F87" si="50">F75+D76</f>
        <v>1277</v>
      </c>
      <c r="G76" s="136">
        <f t="shared" si="41"/>
        <v>7.8357032916426705</v>
      </c>
      <c r="H76" s="137">
        <f t="shared" si="42"/>
        <v>7.5749112933903637</v>
      </c>
      <c r="I76" s="138">
        <f t="shared" si="43"/>
        <v>7.2898556726456727</v>
      </c>
      <c r="J76" s="285">
        <f t="shared" si="44"/>
        <v>8.3865695529861899</v>
      </c>
      <c r="K76" s="137">
        <f t="shared" si="45"/>
        <v>8.0747016042723931</v>
      </c>
      <c r="L76" s="225">
        <f t="shared" si="46"/>
        <v>7.7328072006623918</v>
      </c>
      <c r="M76" s="285">
        <f t="shared" si="47"/>
        <v>7.9472147888646605</v>
      </c>
      <c r="N76" s="137">
        <f t="shared" si="48"/>
        <v>7.675636661153086</v>
      </c>
      <c r="O76" s="333">
        <f t="shared" si="49"/>
        <v>7.3774964199102655</v>
      </c>
      <c r="P76" s="334">
        <f t="shared" ref="P76:P88" si="51">P75+D76/450</f>
        <v>7.8377777777777773</v>
      </c>
    </row>
    <row r="77" spans="1:30" x14ac:dyDescent="0.25">
      <c r="A77" s="125">
        <f>Advancement!A29</f>
        <v>28</v>
      </c>
      <c r="B77" s="126">
        <f>Advancement!B29</f>
        <v>50395</v>
      </c>
      <c r="C77" s="126">
        <f>Advancement!C29</f>
        <v>51494.5</v>
      </c>
      <c r="D77" s="182">
        <f>Advancement!D29</f>
        <v>1099.5</v>
      </c>
      <c r="E77" s="128" t="str">
        <f>Advancement!E29</f>
        <v>GB-G-GA-3</v>
      </c>
      <c r="F77" s="134">
        <f t="shared" si="50"/>
        <v>2376.5</v>
      </c>
      <c r="G77" s="136">
        <f t="shared" si="41"/>
        <v>10.374068666908421</v>
      </c>
      <c r="H77" s="137">
        <f t="shared" si="42"/>
        <v>9.8554763121373412</v>
      </c>
      <c r="I77" s="138">
        <f t="shared" si="43"/>
        <v>9.3247622523730342</v>
      </c>
      <c r="J77" s="285">
        <f t="shared" si="44"/>
        <v>11.399212002611943</v>
      </c>
      <c r="K77" s="137">
        <f t="shared" si="45"/>
        <v>10.781375376124245</v>
      </c>
      <c r="L77" s="225">
        <f t="shared" si="46"/>
        <v>10.14792285061786</v>
      </c>
      <c r="M77" s="285">
        <f t="shared" si="47"/>
        <v>10.558972117185007</v>
      </c>
      <c r="N77" s="137">
        <f t="shared" si="48"/>
        <v>10.022139831446237</v>
      </c>
      <c r="O77" s="333">
        <f t="shared" si="49"/>
        <v>9.4712384098685938</v>
      </c>
      <c r="P77" s="334">
        <f t="shared" si="51"/>
        <v>10.281111111111111</v>
      </c>
    </row>
    <row r="78" spans="1:30" ht="12" thickBot="1" x14ac:dyDescent="0.3">
      <c r="A78" s="125" t="str">
        <f>Advancement!A30</f>
        <v>F4</v>
      </c>
      <c r="B78" s="126">
        <f>Advancement!B30</f>
        <v>51494.5</v>
      </c>
      <c r="C78" s="126">
        <f>Advancement!C30</f>
        <v>51505.5</v>
      </c>
      <c r="D78" s="182">
        <f>Advancement!D30</f>
        <v>11</v>
      </c>
      <c r="E78" s="128" t="str">
        <f>Advancement!E30</f>
        <v>F4</v>
      </c>
      <c r="F78" s="134">
        <f t="shared" si="50"/>
        <v>2387.5</v>
      </c>
      <c r="G78" s="136">
        <f t="shared" si="41"/>
        <v>10.419628078695421</v>
      </c>
      <c r="H78" s="137">
        <f t="shared" si="42"/>
        <v>9.9004420602754859</v>
      </c>
      <c r="I78" s="138">
        <f t="shared" si="43"/>
        <v>9.3718964773420481</v>
      </c>
      <c r="J78" s="285">
        <f t="shared" si="44"/>
        <v>11.441340396968069</v>
      </c>
      <c r="K78" s="137">
        <f t="shared" si="45"/>
        <v>10.822954814834702</v>
      </c>
      <c r="L78" s="225">
        <f t="shared" si="46"/>
        <v>10.191507461113899</v>
      </c>
      <c r="M78" s="285">
        <f t="shared" si="47"/>
        <v>10.59184687578661</v>
      </c>
      <c r="N78" s="137">
        <f t="shared" si="48"/>
        <v>10.054586214254975</v>
      </c>
      <c r="O78" s="333">
        <f t="shared" si="49"/>
        <v>9.5052495221053874</v>
      </c>
      <c r="P78" s="334">
        <f t="shared" si="51"/>
        <v>10.305555555555555</v>
      </c>
    </row>
    <row r="79" spans="1:30" ht="12" thickBot="1" x14ac:dyDescent="0.3">
      <c r="A79" s="125">
        <f>Advancement!A31</f>
        <v>28</v>
      </c>
      <c r="B79" s="126">
        <f>Advancement!B31</f>
        <v>51505.5</v>
      </c>
      <c r="C79" s="126">
        <f>Advancement!C31</f>
        <v>51564</v>
      </c>
      <c r="D79" s="182">
        <f>Advancement!D31</f>
        <v>58.5</v>
      </c>
      <c r="E79" s="128" t="str">
        <f>Advancement!E31</f>
        <v>GB-G-GA-3</v>
      </c>
      <c r="F79" s="134">
        <f t="shared" si="50"/>
        <v>2446</v>
      </c>
      <c r="G79" s="136">
        <f t="shared" si="41"/>
        <v>10.554684353777773</v>
      </c>
      <c r="H79" s="137">
        <f t="shared" si="42"/>
        <v>10.021781808885489</v>
      </c>
      <c r="I79" s="138">
        <f t="shared" si="43"/>
        <v>9.4801657223752915</v>
      </c>
      <c r="J79" s="285">
        <f t="shared" si="44"/>
        <v>11.601631059362891</v>
      </c>
      <c r="K79" s="137">
        <f t="shared" si="45"/>
        <v>10.966966106925046</v>
      </c>
      <c r="L79" s="225">
        <f t="shared" si="46"/>
        <v>10.320006110975104</v>
      </c>
      <c r="M79" s="285">
        <f t="shared" si="47"/>
        <v>10.730808043323435</v>
      </c>
      <c r="N79" s="137">
        <f t="shared" si="48"/>
        <v>10.179434268336056</v>
      </c>
      <c r="O79" s="333">
        <f t="shared" si="49"/>
        <v>9.6166491641359126</v>
      </c>
      <c r="P79" s="334">
        <f t="shared" si="51"/>
        <v>10.435555555555556</v>
      </c>
      <c r="V79" s="533" t="s">
        <v>127</v>
      </c>
      <c r="W79" s="534"/>
      <c r="X79" s="534"/>
      <c r="Y79" s="534"/>
      <c r="Z79" s="534"/>
      <c r="AA79" s="534"/>
      <c r="AB79" s="534"/>
      <c r="AC79" s="534"/>
      <c r="AD79" s="535"/>
    </row>
    <row r="80" spans="1:30" ht="12" thickBot="1" x14ac:dyDescent="0.3">
      <c r="A80" s="125">
        <f>Advancement!A32</f>
        <v>29</v>
      </c>
      <c r="B80" s="126">
        <f>Advancement!B32</f>
        <v>51564</v>
      </c>
      <c r="C80" s="126">
        <f>Advancement!C32</f>
        <v>51639</v>
      </c>
      <c r="D80" s="182">
        <f>Advancement!D32</f>
        <v>75</v>
      </c>
      <c r="E80" s="128" t="str">
        <f>Advancement!E32</f>
        <v>GB-G-GA-4</v>
      </c>
      <c r="F80" s="134">
        <f t="shared" si="50"/>
        <v>2521</v>
      </c>
      <c r="G80" s="136">
        <f t="shared" si="41"/>
        <v>10.708809261492421</v>
      </c>
      <c r="H80" s="137">
        <f t="shared" si="42"/>
        <v>10.16704116505985</v>
      </c>
      <c r="I80" s="138">
        <f t="shared" si="43"/>
        <v>9.6200784223550926</v>
      </c>
      <c r="J80" s="285">
        <f t="shared" si="44"/>
        <v>11.780000448451085</v>
      </c>
      <c r="K80" s="137">
        <f t="shared" si="45"/>
        <v>11.135075356781892</v>
      </c>
      <c r="L80" s="225">
        <f t="shared" si="46"/>
        <v>10.481927653645426</v>
      </c>
      <c r="M80" s="285">
        <f t="shared" si="47"/>
        <v>10.883383177726127</v>
      </c>
      <c r="N80" s="137">
        <f t="shared" si="48"/>
        <v>10.323232997043714</v>
      </c>
      <c r="O80" s="333">
        <f t="shared" si="49"/>
        <v>9.7551549989201529</v>
      </c>
      <c r="P80" s="334">
        <f t="shared" si="51"/>
        <v>10.602222222222222</v>
      </c>
      <c r="V80" s="557" t="s">
        <v>1</v>
      </c>
      <c r="W80" s="558"/>
      <c r="X80" s="559"/>
      <c r="Y80" s="560" t="s">
        <v>21</v>
      </c>
      <c r="Z80" s="561"/>
      <c r="AA80" s="562"/>
      <c r="AB80" s="563" t="s">
        <v>2</v>
      </c>
      <c r="AC80" s="564"/>
      <c r="AD80" s="565"/>
    </row>
    <row r="81" spans="1:30" ht="12" thickBot="1" x14ac:dyDescent="0.3">
      <c r="A81" s="125" t="str">
        <f>Advancement!A33</f>
        <v>F6-F7</v>
      </c>
      <c r="B81" s="126">
        <f>Advancement!B33</f>
        <v>51639</v>
      </c>
      <c r="C81" s="126">
        <f>Advancement!C33</f>
        <v>51743</v>
      </c>
      <c r="D81" s="182">
        <f>Advancement!D33</f>
        <v>104</v>
      </c>
      <c r="E81" s="128" t="str">
        <f>Advancement!E33</f>
        <v>F6-F7</v>
      </c>
      <c r="F81" s="134">
        <f t="shared" si="50"/>
        <v>2625</v>
      </c>
      <c r="G81" s="136">
        <f t="shared" si="41"/>
        <v>11.127769363250072</v>
      </c>
      <c r="H81" s="137">
        <f t="shared" si="42"/>
        <v>10.579912873148139</v>
      </c>
      <c r="I81" s="138">
        <f t="shared" si="43"/>
        <v>10.051196955332802</v>
      </c>
      <c r="J81" s="285">
        <f t="shared" si="44"/>
        <v>12.16740923390353</v>
      </c>
      <c r="K81" s="137">
        <f t="shared" si="45"/>
        <v>11.516854257224026</v>
      </c>
      <c r="L81" s="225">
        <f t="shared" si="46"/>
        <v>10.880579235374197</v>
      </c>
      <c r="M81" s="285">
        <f t="shared" si="47"/>
        <v>11.185696391807515</v>
      </c>
      <c r="N81" s="137">
        <f t="shared" si="48"/>
        <v>10.621152948255785</v>
      </c>
      <c r="O81" s="333">
        <f t="shared" si="49"/>
        <v>10.066241493332777</v>
      </c>
      <c r="P81" s="334">
        <f t="shared" si="51"/>
        <v>10.833333333333334</v>
      </c>
      <c r="V81" s="299" t="s">
        <v>65</v>
      </c>
      <c r="W81" s="314" t="s">
        <v>66</v>
      </c>
      <c r="X81" s="315" t="s">
        <v>67</v>
      </c>
      <c r="Y81" s="317" t="s">
        <v>65</v>
      </c>
      <c r="Z81" s="306" t="s">
        <v>66</v>
      </c>
      <c r="AA81" s="318" t="s">
        <v>67</v>
      </c>
      <c r="AB81" s="316" t="s">
        <v>65</v>
      </c>
      <c r="AC81" s="301" t="s">
        <v>66</v>
      </c>
      <c r="AD81" s="312" t="s">
        <v>67</v>
      </c>
    </row>
    <row r="82" spans="1:30" ht="12" thickBot="1" x14ac:dyDescent="0.3">
      <c r="A82" s="125">
        <f>Advancement!A34</f>
        <v>30</v>
      </c>
      <c r="B82" s="126">
        <f>Advancement!B34</f>
        <v>51743</v>
      </c>
      <c r="C82" s="126">
        <f>Advancement!C34</f>
        <v>51980.5</v>
      </c>
      <c r="D82" s="182">
        <f>Advancement!D34</f>
        <v>237.5</v>
      </c>
      <c r="E82" s="128" t="str">
        <f>Advancement!E34</f>
        <v>GB-G-GA-5</v>
      </c>
      <c r="F82" s="134">
        <f t="shared" si="50"/>
        <v>2862.5</v>
      </c>
      <c r="G82" s="136">
        <f t="shared" si="41"/>
        <v>11.640007376348288</v>
      </c>
      <c r="H82" s="137">
        <f t="shared" si="42"/>
        <v>11.050741139989205</v>
      </c>
      <c r="I82" s="138">
        <f t="shared" si="43"/>
        <v>10.489280141262489</v>
      </c>
      <c r="J82" s="285">
        <f t="shared" si="44"/>
        <v>12.771663820991025</v>
      </c>
      <c r="K82" s="137">
        <f t="shared" si="45"/>
        <v>12.072260401817633</v>
      </c>
      <c r="L82" s="225">
        <f t="shared" si="46"/>
        <v>11.397358091794526</v>
      </c>
      <c r="M82" s="285">
        <f t="shared" si="47"/>
        <v>11.707825070502734</v>
      </c>
      <c r="N82" s="137">
        <f t="shared" si="48"/>
        <v>11.101072311075411</v>
      </c>
      <c r="O82" s="333">
        <f t="shared" si="49"/>
        <v>10.512783509308079</v>
      </c>
      <c r="P82" s="334">
        <f t="shared" si="51"/>
        <v>11.361111111111112</v>
      </c>
      <c r="V82" s="275">
        <f t="shared" ref="V82:AD82" si="52">$F$88/(G88-G74)</f>
        <v>428.34809633732925</v>
      </c>
      <c r="W82" s="276">
        <f t="shared" si="52"/>
        <v>467.79412197272893</v>
      </c>
      <c r="X82" s="277">
        <f t="shared" si="52"/>
        <v>510.23245196629244</v>
      </c>
      <c r="Y82" s="278">
        <f t="shared" si="52"/>
        <v>368.91776260678074</v>
      </c>
      <c r="Z82" s="279">
        <f t="shared" si="52"/>
        <v>403.58751252709845</v>
      </c>
      <c r="AA82" s="280">
        <f t="shared" si="52"/>
        <v>441.76175899531501</v>
      </c>
      <c r="AB82" s="281">
        <f t="shared" si="52"/>
        <v>428.88181499823241</v>
      </c>
      <c r="AC82" s="282">
        <f t="shared" si="52"/>
        <v>469.48980740524843</v>
      </c>
      <c r="AD82" s="283">
        <f t="shared" si="52"/>
        <v>514.59037572499619</v>
      </c>
    </row>
    <row r="83" spans="1:30" x14ac:dyDescent="0.25">
      <c r="A83" s="141" t="str">
        <f>Advancement!A35</f>
        <v>F9</v>
      </c>
      <c r="B83" s="142">
        <f>Advancement!B35</f>
        <v>51980.5</v>
      </c>
      <c r="C83" s="142">
        <f>Advancement!C35</f>
        <v>52003.5</v>
      </c>
      <c r="D83" s="182">
        <f>Advancement!D35</f>
        <v>23</v>
      </c>
      <c r="E83" s="143" t="str">
        <f>Advancement!E35</f>
        <v>F9</v>
      </c>
      <c r="F83" s="134">
        <f t="shared" si="50"/>
        <v>2885.5</v>
      </c>
      <c r="G83" s="136">
        <f t="shared" si="41"/>
        <v>11.734929000200744</v>
      </c>
      <c r="H83" s="137">
        <f t="shared" si="42"/>
        <v>11.144268283286799</v>
      </c>
      <c r="I83" s="138">
        <f t="shared" si="43"/>
        <v>10.586981259850361</v>
      </c>
      <c r="J83" s="285">
        <f t="shared" si="44"/>
        <v>12.85943702625706</v>
      </c>
      <c r="K83" s="137">
        <f t="shared" si="45"/>
        <v>12.158744142965656</v>
      </c>
      <c r="L83" s="225">
        <f t="shared" si="46"/>
        <v>11.487701471822078</v>
      </c>
      <c r="M83" s="285">
        <f t="shared" si="47"/>
        <v>11.776318612184323</v>
      </c>
      <c r="N83" s="137">
        <f t="shared" si="48"/>
        <v>11.16855962353196</v>
      </c>
      <c r="O83" s="333">
        <f t="shared" si="49"/>
        <v>10.58328267869374</v>
      </c>
      <c r="P83" s="334">
        <f t="shared" si="51"/>
        <v>11.412222222222224</v>
      </c>
    </row>
    <row r="84" spans="1:30" x14ac:dyDescent="0.25">
      <c r="A84" s="141">
        <f>Advancement!A36</f>
        <v>30</v>
      </c>
      <c r="B84" s="142">
        <f>Advancement!B36</f>
        <v>52003.5</v>
      </c>
      <c r="C84" s="142">
        <f>Advancement!C36</f>
        <v>52363.5</v>
      </c>
      <c r="D84" s="182">
        <f>Advancement!D36</f>
        <v>360</v>
      </c>
      <c r="E84" s="143" t="str">
        <f>Advancement!E36</f>
        <v>GB-G-GA-5</v>
      </c>
      <c r="F84" s="134">
        <f t="shared" si="50"/>
        <v>3245.5</v>
      </c>
      <c r="G84" s="136">
        <f t="shared" si="41"/>
        <v>12.511373988475933</v>
      </c>
      <c r="H84" s="137">
        <f t="shared" si="42"/>
        <v>11.857944814077467</v>
      </c>
      <c r="I84" s="138">
        <f t="shared" si="43"/>
        <v>11.251023141680625</v>
      </c>
      <c r="J84" s="285">
        <f t="shared" si="44"/>
        <v>13.775359768789684</v>
      </c>
      <c r="K84" s="137">
        <f t="shared" si="45"/>
        <v>13.000622930560176</v>
      </c>
      <c r="L84" s="225">
        <f t="shared" si="46"/>
        <v>12.271029422606578</v>
      </c>
      <c r="M84" s="285">
        <f t="shared" si="47"/>
        <v>12.567755767259182</v>
      </c>
      <c r="N84" s="137">
        <f t="shared" si="48"/>
        <v>11.896016341911182</v>
      </c>
      <c r="O84" s="333">
        <f t="shared" si="49"/>
        <v>11.260146366066829</v>
      </c>
      <c r="P84" s="334">
        <f t="shared" si="51"/>
        <v>12.212222222222225</v>
      </c>
    </row>
    <row r="85" spans="1:30" x14ac:dyDescent="0.25">
      <c r="A85" s="141" t="str">
        <f>Advancement!A37</f>
        <v>F11</v>
      </c>
      <c r="B85" s="142">
        <f>Advancement!B37</f>
        <v>52363.5</v>
      </c>
      <c r="C85" s="142">
        <f>Advancement!C37</f>
        <v>52392.5</v>
      </c>
      <c r="D85" s="182">
        <f>Advancement!D37</f>
        <v>29</v>
      </c>
      <c r="E85" s="143" t="str">
        <f>Advancement!E37</f>
        <v>F11</v>
      </c>
      <c r="F85" s="134">
        <f t="shared" si="50"/>
        <v>3274.5</v>
      </c>
      <c r="G85" s="136">
        <f t="shared" si="41"/>
        <v>12.631057775072508</v>
      </c>
      <c r="H85" s="137">
        <f t="shared" si="42"/>
        <v>11.975870342583129</v>
      </c>
      <c r="I85" s="138">
        <f t="shared" si="43"/>
        <v>11.374211508595767</v>
      </c>
      <c r="J85" s="285">
        <f t="shared" si="44"/>
        <v>13.886030331951208</v>
      </c>
      <c r="K85" s="137">
        <f t="shared" si="45"/>
        <v>13.109667647659856</v>
      </c>
      <c r="L85" s="225">
        <f t="shared" si="46"/>
        <v>12.384940640902185</v>
      </c>
      <c r="M85" s="285">
        <f t="shared" si="47"/>
        <v>12.654117189379447</v>
      </c>
      <c r="N85" s="137">
        <f t="shared" si="48"/>
        <v>11.981109040225959</v>
      </c>
      <c r="O85" s="333">
        <f t="shared" si="49"/>
        <v>11.349036623118314</v>
      </c>
      <c r="P85" s="334">
        <f t="shared" si="51"/>
        <v>12.276666666666669</v>
      </c>
    </row>
    <row r="86" spans="1:30" x14ac:dyDescent="0.25">
      <c r="A86" s="141">
        <f>Advancement!A38</f>
        <v>31</v>
      </c>
      <c r="B86" s="142">
        <f>Advancement!B38</f>
        <v>52392.5</v>
      </c>
      <c r="C86" s="142">
        <f>Advancement!C38</f>
        <v>52490.5</v>
      </c>
      <c r="D86" s="182">
        <f>Advancement!D38</f>
        <v>98</v>
      </c>
      <c r="E86" s="143" t="str">
        <f>Advancement!E38</f>
        <v>GB-G-GA-6</v>
      </c>
      <c r="F86" s="134">
        <f t="shared" si="50"/>
        <v>3372.5</v>
      </c>
      <c r="G86" s="136">
        <f t="shared" si="41"/>
        <v>12.848811557982307</v>
      </c>
      <c r="H86" s="137">
        <f t="shared" si="42"/>
        <v>12.177806084980332</v>
      </c>
      <c r="I86" s="138">
        <f t="shared" si="43"/>
        <v>11.56404896165413</v>
      </c>
      <c r="J86" s="285">
        <f t="shared" si="44"/>
        <v>14.13636296812729</v>
      </c>
      <c r="K86" s="137">
        <f t="shared" si="45"/>
        <v>13.341815654720687</v>
      </c>
      <c r="L86" s="225">
        <f t="shared" si="46"/>
        <v>12.603180294119777</v>
      </c>
      <c r="M86" s="285">
        <f t="shared" si="47"/>
        <v>12.867509059777584</v>
      </c>
      <c r="N86" s="137">
        <f t="shared" si="48"/>
        <v>12.178999727563527</v>
      </c>
      <c r="O86" s="333">
        <f t="shared" si="49"/>
        <v>11.535071366755917</v>
      </c>
      <c r="P86" s="334">
        <f t="shared" si="51"/>
        <v>12.494444444444447</v>
      </c>
    </row>
    <row r="87" spans="1:30" x14ac:dyDescent="0.25">
      <c r="A87" s="141" t="str">
        <f>Advancement!A39</f>
        <v>F12</v>
      </c>
      <c r="B87" s="142">
        <f>Advancement!B39</f>
        <v>52490.5</v>
      </c>
      <c r="C87" s="142">
        <f>Advancement!C39</f>
        <v>52511.5</v>
      </c>
      <c r="D87" s="182">
        <f>Advancement!D39</f>
        <v>21</v>
      </c>
      <c r="E87" s="143" t="str">
        <f>Advancement!E39</f>
        <v>F12</v>
      </c>
      <c r="F87" s="134">
        <f t="shared" si="50"/>
        <v>3393.5</v>
      </c>
      <c r="G87" s="136">
        <f t="shared" si="41"/>
        <v>12.934790590995652</v>
      </c>
      <c r="H87" s="137">
        <f t="shared" si="42"/>
        <v>12.262820333696588</v>
      </c>
      <c r="I87" s="138">
        <f t="shared" si="43"/>
        <v>11.653418102294056</v>
      </c>
      <c r="J87" s="285">
        <f t="shared" si="44"/>
        <v>14.215867036926049</v>
      </c>
      <c r="K87" s="137">
        <f t="shared" si="45"/>
        <v>13.42042759581757</v>
      </c>
      <c r="L87" s="225">
        <f t="shared" si="46"/>
        <v>12.685819166143609</v>
      </c>
      <c r="M87" s="285">
        <f t="shared" si="47"/>
        <v>12.929549807106095</v>
      </c>
      <c r="N87" s="137">
        <f t="shared" si="48"/>
        <v>12.240344305876123</v>
      </c>
      <c r="O87" s="333">
        <f t="shared" si="49"/>
        <v>11.599558347814977</v>
      </c>
      <c r="P87" s="334">
        <f t="shared" si="51"/>
        <v>12.541111111111114</v>
      </c>
    </row>
    <row r="88" spans="1:30" x14ac:dyDescent="0.25">
      <c r="A88" s="141">
        <f>Advancement!A40</f>
        <v>31</v>
      </c>
      <c r="B88" s="142">
        <f>Advancement!B40</f>
        <v>52511.5</v>
      </c>
      <c r="C88" s="142">
        <f>Advancement!C40</f>
        <v>52622.5</v>
      </c>
      <c r="D88" s="182">
        <f>Advancement!D40</f>
        <v>111</v>
      </c>
      <c r="E88" s="143" t="str">
        <f>Advancement!E40</f>
        <v>GB-G-GA-6</v>
      </c>
      <c r="F88" s="134">
        <f>F87+D88</f>
        <v>3504.5</v>
      </c>
      <c r="G88" s="136">
        <f t="shared" si="41"/>
        <v>13.181430079801649</v>
      </c>
      <c r="H88" s="137">
        <f t="shared" si="42"/>
        <v>12.49154347049342</v>
      </c>
      <c r="I88" s="138">
        <f t="shared" si="43"/>
        <v>11.868438074635673</v>
      </c>
      <c r="J88" s="285">
        <f t="shared" si="44"/>
        <v>14.499407063615285</v>
      </c>
      <c r="K88" s="137">
        <f t="shared" si="45"/>
        <v>13.683370746672184</v>
      </c>
      <c r="L88" s="225">
        <f t="shared" si="46"/>
        <v>12.933008977441087</v>
      </c>
      <c r="M88" s="285">
        <f t="shared" si="47"/>
        <v>13.171248762352965</v>
      </c>
      <c r="N88" s="137">
        <f t="shared" si="48"/>
        <v>12.464485798676836</v>
      </c>
      <c r="O88" s="333">
        <f t="shared" si="49"/>
        <v>11.810271169690221</v>
      </c>
      <c r="P88" s="334">
        <f t="shared" si="51"/>
        <v>12.78777777777778</v>
      </c>
    </row>
    <row r="89" spans="1:30" x14ac:dyDescent="0.25">
      <c r="A89" s="141" t="s">
        <v>118</v>
      </c>
      <c r="B89" s="142"/>
      <c r="C89" s="142">
        <f>C88</f>
        <v>52622.5</v>
      </c>
      <c r="D89" s="182">
        <f>SUM(D75:D88)</f>
        <v>3504.5</v>
      </c>
      <c r="E89" s="130"/>
      <c r="F89" s="134">
        <v>0</v>
      </c>
      <c r="G89" s="136">
        <f>G88+3</f>
        <v>16.18143007980165</v>
      </c>
      <c r="H89" s="137">
        <f>H88+3</f>
        <v>15.49154347049342</v>
      </c>
      <c r="I89" s="138">
        <f>I88+3</f>
        <v>14.868438074635673</v>
      </c>
      <c r="J89" s="136">
        <f>J88+3.2</f>
        <v>17.699407063615286</v>
      </c>
      <c r="K89" s="137">
        <f>K88+3.2</f>
        <v>16.883370746672185</v>
      </c>
      <c r="L89" s="138">
        <f>L88+3.2</f>
        <v>16.133008977441087</v>
      </c>
      <c r="M89" s="136">
        <f>M88+3.5</f>
        <v>16.671248762352967</v>
      </c>
      <c r="N89" s="137">
        <f>N88+3.5</f>
        <v>15.964485798676836</v>
      </c>
      <c r="O89" s="140">
        <f>O88+3.5</f>
        <v>15.310271169690221</v>
      </c>
      <c r="P89" s="334">
        <f>P88+3</f>
        <v>15.78777777777778</v>
      </c>
    </row>
    <row r="90" spans="1:30" x14ac:dyDescent="0.25">
      <c r="A90" s="141" t="s">
        <v>119</v>
      </c>
      <c r="B90" s="142"/>
      <c r="C90" s="142">
        <f>B75+(184-35)</f>
        <v>49267</v>
      </c>
      <c r="D90" s="182"/>
      <c r="E90" s="130"/>
      <c r="F90" s="134">
        <v>0</v>
      </c>
      <c r="G90" s="136">
        <f>G89</f>
        <v>16.18143007980165</v>
      </c>
      <c r="H90" s="137">
        <f>H89</f>
        <v>15.49154347049342</v>
      </c>
      <c r="I90" s="138">
        <f>I89</f>
        <v>14.868438074635673</v>
      </c>
      <c r="J90" s="136">
        <f t="shared" ref="J90:O90" si="53">J89</f>
        <v>17.699407063615286</v>
      </c>
      <c r="K90" s="137">
        <f t="shared" si="53"/>
        <v>16.883370746672185</v>
      </c>
      <c r="L90" s="138">
        <f t="shared" si="53"/>
        <v>16.133008977441087</v>
      </c>
      <c r="M90" s="136">
        <f t="shared" si="53"/>
        <v>16.671248762352967</v>
      </c>
      <c r="N90" s="137">
        <f t="shared" si="53"/>
        <v>15.964485798676836</v>
      </c>
      <c r="O90" s="140">
        <f t="shared" si="53"/>
        <v>15.310271169690221</v>
      </c>
      <c r="P90" s="334">
        <f>P89</f>
        <v>15.78777777777778</v>
      </c>
    </row>
    <row r="91" spans="1:30" x14ac:dyDescent="0.25">
      <c r="A91" s="125"/>
      <c r="B91" s="126"/>
      <c r="C91" s="126">
        <f>C90</f>
        <v>49267</v>
      </c>
      <c r="D91" s="182"/>
      <c r="E91" s="130"/>
      <c r="F91" s="134">
        <v>0</v>
      </c>
      <c r="G91" s="136">
        <f>G90+2</f>
        <v>18.18143007980165</v>
      </c>
      <c r="H91" s="137">
        <f>H90+2</f>
        <v>17.491543470493419</v>
      </c>
      <c r="I91" s="138">
        <f>I90+2</f>
        <v>16.868438074635673</v>
      </c>
      <c r="J91" s="136">
        <f>J90+2.8</f>
        <v>20.499407063615287</v>
      </c>
      <c r="K91" s="137">
        <f>K90+2.8</f>
        <v>19.683370746672185</v>
      </c>
      <c r="L91" s="138">
        <f>L90+2.8</f>
        <v>18.933008977441087</v>
      </c>
      <c r="M91" s="136">
        <f>M90+3</f>
        <v>19.671248762352967</v>
      </c>
      <c r="N91" s="137">
        <f>N90+3</f>
        <v>18.964485798676836</v>
      </c>
      <c r="O91" s="140">
        <f>O90+3</f>
        <v>18.310271169690221</v>
      </c>
      <c r="P91" s="334">
        <f>P90+2</f>
        <v>17.78777777777778</v>
      </c>
    </row>
    <row r="92" spans="1:30" x14ac:dyDescent="0.25">
      <c r="A92" s="227">
        <f>A75</f>
        <v>26</v>
      </c>
      <c r="B92" s="218">
        <f>C91</f>
        <v>49267</v>
      </c>
      <c r="C92" s="218">
        <f>D92+B92</f>
        <v>50323</v>
      </c>
      <c r="D92" s="182">
        <f>D75-(184-35)</f>
        <v>1056</v>
      </c>
      <c r="E92" s="228" t="str">
        <f>E75</f>
        <v>GB-G-GA-1</v>
      </c>
      <c r="F92" s="134">
        <f>F75</f>
        <v>1205</v>
      </c>
      <c r="G92" s="136">
        <f>G91+(D92/O49)</f>
        <v>20.512323556561817</v>
      </c>
      <c r="H92" s="139">
        <f>H91+(D92/N49)</f>
        <v>19.604688246309095</v>
      </c>
      <c r="I92" s="225">
        <f>I91+(D92/M49)</f>
        <v>18.73532128530675</v>
      </c>
      <c r="J92" s="136">
        <f>J91+(D92/R49)</f>
        <v>23.298621466807958</v>
      </c>
      <c r="K92" s="139">
        <f>K91+(D92/Q49)</f>
        <v>22.221086584599007</v>
      </c>
      <c r="L92" s="225">
        <f>L91+(D92/P49)</f>
        <v>21.174984608027469</v>
      </c>
      <c r="M92" s="136">
        <f>M91+(D92/U49)</f>
        <v>22.113684706938777</v>
      </c>
      <c r="N92" s="139">
        <f>N91+(D92/T49)</f>
        <v>21.178752906129464</v>
      </c>
      <c r="O92" s="333">
        <f>O91+(D92/S49)</f>
        <v>20.266492122534721</v>
      </c>
      <c r="P92" s="334">
        <f>P91+D92/450</f>
        <v>20.134444444444448</v>
      </c>
    </row>
    <row r="93" spans="1:30" x14ac:dyDescent="0.25">
      <c r="A93" s="227">
        <f t="shared" ref="A93:F93" si="54">A76</f>
        <v>27</v>
      </c>
      <c r="B93" s="218">
        <f>C92</f>
        <v>50323</v>
      </c>
      <c r="C93" s="218">
        <f>D93+B93</f>
        <v>50395</v>
      </c>
      <c r="D93" s="182">
        <f t="shared" si="54"/>
        <v>72</v>
      </c>
      <c r="E93" s="228" t="str">
        <f t="shared" si="54"/>
        <v>GB-G-GA-2</v>
      </c>
      <c r="F93" s="134">
        <f t="shared" si="54"/>
        <v>1277</v>
      </c>
      <c r="G93" s="136">
        <f t="shared" ref="G93:G105" si="55">G92+(D93/O50)</f>
        <v>20.688247833530244</v>
      </c>
      <c r="H93" s="139">
        <f t="shared" ref="H93:H105" si="56">H92+(D93/N50)</f>
        <v>19.768293237750701</v>
      </c>
      <c r="I93" s="225">
        <f t="shared" ref="I93:I105" si="57">I92+(D93/M50)</f>
        <v>18.894879354866582</v>
      </c>
      <c r="J93" s="136">
        <f t="shared" ref="J93:J105" si="58">J92+(D93/R50)</f>
        <v>23.491011705544935</v>
      </c>
      <c r="K93" s="139">
        <f t="shared" ref="K93:K105" si="59">K92+(D93/Q50)</f>
        <v>22.400004491237102</v>
      </c>
      <c r="L93" s="225">
        <f t="shared" ref="L93:L105" si="60">L92+(D93/P50)</f>
        <v>21.349476813560514</v>
      </c>
      <c r="M93" s="136">
        <f t="shared" ref="M93:M105" si="61">M92+(D93/U50)</f>
        <v>22.273839540097089</v>
      </c>
      <c r="N93" s="139">
        <f t="shared" ref="N93:N105" si="62">N92+(D93/T50)</f>
        <v>21.327692725918521</v>
      </c>
      <c r="O93" s="333">
        <f t="shared" ref="O93:O105" si="63">O92+(D93/S50)</f>
        <v>20.411747777125267</v>
      </c>
      <c r="P93" s="334">
        <f t="shared" ref="P93:P105" si="64">P92+D93/450</f>
        <v>20.294444444444448</v>
      </c>
    </row>
    <row r="94" spans="1:30" x14ac:dyDescent="0.25">
      <c r="A94" s="227">
        <f t="shared" ref="A94:F94" si="65">A77</f>
        <v>28</v>
      </c>
      <c r="B94" s="218">
        <f t="shared" ref="B94:B105" si="66">C93</f>
        <v>50395</v>
      </c>
      <c r="C94" s="218">
        <f t="shared" ref="C94:C104" si="67">D94+B94</f>
        <v>51494.5</v>
      </c>
      <c r="D94" s="182">
        <f t="shared" si="65"/>
        <v>1099.5</v>
      </c>
      <c r="E94" s="228" t="str">
        <f t="shared" si="65"/>
        <v>GB-G-GA-3</v>
      </c>
      <c r="F94" s="134">
        <f t="shared" si="65"/>
        <v>2376.5</v>
      </c>
      <c r="G94" s="136">
        <f t="shared" si="55"/>
        <v>23.226613208795996</v>
      </c>
      <c r="H94" s="139">
        <f t="shared" si="56"/>
        <v>22.048858256497677</v>
      </c>
      <c r="I94" s="225">
        <f t="shared" si="57"/>
        <v>20.929785934593944</v>
      </c>
      <c r="J94" s="136">
        <f t="shared" si="58"/>
        <v>26.503654155170686</v>
      </c>
      <c r="K94" s="139">
        <f t="shared" si="59"/>
        <v>25.106678263088952</v>
      </c>
      <c r="L94" s="225">
        <f t="shared" si="60"/>
        <v>23.764592463515982</v>
      </c>
      <c r="M94" s="136">
        <f t="shared" si="61"/>
        <v>24.885596868417437</v>
      </c>
      <c r="N94" s="139">
        <f t="shared" si="62"/>
        <v>23.674195896211671</v>
      </c>
      <c r="O94" s="333">
        <f t="shared" si="63"/>
        <v>22.505489767083596</v>
      </c>
      <c r="P94" s="334">
        <f t="shared" si="64"/>
        <v>22.737777777777779</v>
      </c>
    </row>
    <row r="95" spans="1:30" x14ac:dyDescent="0.25">
      <c r="A95" s="227" t="str">
        <f t="shared" ref="A95:F95" si="68">A78</f>
        <v>F4</v>
      </c>
      <c r="B95" s="218">
        <f t="shared" si="66"/>
        <v>51494.5</v>
      </c>
      <c r="C95" s="218">
        <f t="shared" si="67"/>
        <v>51505.5</v>
      </c>
      <c r="D95" s="182">
        <f t="shared" si="68"/>
        <v>11</v>
      </c>
      <c r="E95" s="228" t="str">
        <f t="shared" si="68"/>
        <v>F4</v>
      </c>
      <c r="F95" s="134">
        <f t="shared" si="68"/>
        <v>2387.5</v>
      </c>
      <c r="G95" s="136">
        <f t="shared" si="55"/>
        <v>23.272172620582996</v>
      </c>
      <c r="H95" s="139">
        <f t="shared" si="56"/>
        <v>22.093824004635824</v>
      </c>
      <c r="I95" s="225">
        <f t="shared" si="57"/>
        <v>20.976920159562958</v>
      </c>
      <c r="J95" s="136">
        <f t="shared" si="58"/>
        <v>26.545782549526812</v>
      </c>
      <c r="K95" s="139">
        <f t="shared" si="59"/>
        <v>25.148257701799409</v>
      </c>
      <c r="L95" s="225">
        <f t="shared" si="60"/>
        <v>23.808177074012022</v>
      </c>
      <c r="M95" s="136">
        <f t="shared" si="61"/>
        <v>24.918471627019038</v>
      </c>
      <c r="N95" s="139">
        <f t="shared" si="62"/>
        <v>23.706642279020411</v>
      </c>
      <c r="O95" s="333">
        <f t="shared" si="63"/>
        <v>22.539500879320389</v>
      </c>
      <c r="P95" s="334">
        <f t="shared" si="64"/>
        <v>22.762222222222224</v>
      </c>
    </row>
    <row r="96" spans="1:30" x14ac:dyDescent="0.25">
      <c r="A96" s="227">
        <f t="shared" ref="A96:F96" si="69">A79</f>
        <v>28</v>
      </c>
      <c r="B96" s="218">
        <f t="shared" si="66"/>
        <v>51505.5</v>
      </c>
      <c r="C96" s="218">
        <f t="shared" si="67"/>
        <v>51564</v>
      </c>
      <c r="D96" s="182">
        <f t="shared" si="69"/>
        <v>58.5</v>
      </c>
      <c r="E96" s="228" t="str">
        <f t="shared" si="69"/>
        <v>GB-G-GA-3</v>
      </c>
      <c r="F96" s="134">
        <f t="shared" si="69"/>
        <v>2446</v>
      </c>
      <c r="G96" s="136">
        <f t="shared" si="55"/>
        <v>23.407228895665348</v>
      </c>
      <c r="H96" s="139">
        <f t="shared" si="56"/>
        <v>22.215163753245825</v>
      </c>
      <c r="I96" s="225">
        <f t="shared" si="57"/>
        <v>21.0851894045962</v>
      </c>
      <c r="J96" s="136">
        <f t="shared" si="58"/>
        <v>26.706073211921634</v>
      </c>
      <c r="K96" s="139">
        <f t="shared" si="59"/>
        <v>25.292268993889753</v>
      </c>
      <c r="L96" s="225">
        <f t="shared" si="60"/>
        <v>23.936675723873226</v>
      </c>
      <c r="M96" s="136">
        <f t="shared" si="61"/>
        <v>25.057432794555865</v>
      </c>
      <c r="N96" s="139">
        <f t="shared" si="62"/>
        <v>23.831490333101492</v>
      </c>
      <c r="O96" s="333">
        <f t="shared" si="63"/>
        <v>22.650900521350913</v>
      </c>
      <c r="P96" s="334">
        <f t="shared" si="64"/>
        <v>22.892222222222223</v>
      </c>
    </row>
    <row r="97" spans="1:16" x14ac:dyDescent="0.25">
      <c r="A97" s="227">
        <f t="shared" ref="A97:F97" si="70">A80</f>
        <v>29</v>
      </c>
      <c r="B97" s="218">
        <f t="shared" si="66"/>
        <v>51564</v>
      </c>
      <c r="C97" s="218">
        <f t="shared" si="67"/>
        <v>51639</v>
      </c>
      <c r="D97" s="182">
        <f t="shared" si="70"/>
        <v>75</v>
      </c>
      <c r="E97" s="228" t="str">
        <f t="shared" si="70"/>
        <v>GB-G-GA-4</v>
      </c>
      <c r="F97" s="134">
        <f t="shared" si="70"/>
        <v>2521</v>
      </c>
      <c r="G97" s="136">
        <f t="shared" si="55"/>
        <v>23.561353803379998</v>
      </c>
      <c r="H97" s="139">
        <f t="shared" si="56"/>
        <v>22.360423109420186</v>
      </c>
      <c r="I97" s="225">
        <f t="shared" si="57"/>
        <v>21.225102104575999</v>
      </c>
      <c r="J97" s="136">
        <f t="shared" si="58"/>
        <v>26.88444260100983</v>
      </c>
      <c r="K97" s="139">
        <f t="shared" si="59"/>
        <v>25.4603782437466</v>
      </c>
      <c r="L97" s="225">
        <f t="shared" si="60"/>
        <v>24.098597266543546</v>
      </c>
      <c r="M97" s="136">
        <f t="shared" si="61"/>
        <v>25.210007928958557</v>
      </c>
      <c r="N97" s="139">
        <f t="shared" si="62"/>
        <v>23.97528906180915</v>
      </c>
      <c r="O97" s="333">
        <f t="shared" si="63"/>
        <v>22.789406356135153</v>
      </c>
      <c r="P97" s="334">
        <f t="shared" si="64"/>
        <v>23.058888888888891</v>
      </c>
    </row>
    <row r="98" spans="1:16" x14ac:dyDescent="0.25">
      <c r="A98" s="227" t="str">
        <f t="shared" ref="A98:F98" si="71">A81</f>
        <v>F6-F7</v>
      </c>
      <c r="B98" s="218">
        <f t="shared" si="66"/>
        <v>51639</v>
      </c>
      <c r="C98" s="218">
        <f t="shared" si="67"/>
        <v>51743</v>
      </c>
      <c r="D98" s="182">
        <f t="shared" si="71"/>
        <v>104</v>
      </c>
      <c r="E98" s="228" t="str">
        <f t="shared" si="71"/>
        <v>F6-F7</v>
      </c>
      <c r="F98" s="134">
        <f t="shared" si="71"/>
        <v>2625</v>
      </c>
      <c r="G98" s="136">
        <f t="shared" si="55"/>
        <v>23.980313905137649</v>
      </c>
      <c r="H98" s="139">
        <f t="shared" si="56"/>
        <v>22.773294817508475</v>
      </c>
      <c r="I98" s="225">
        <f t="shared" si="57"/>
        <v>21.656220637553709</v>
      </c>
      <c r="J98" s="136">
        <f t="shared" si="58"/>
        <v>27.271851386462277</v>
      </c>
      <c r="K98" s="139">
        <f t="shared" si="59"/>
        <v>25.842157144188736</v>
      </c>
      <c r="L98" s="225">
        <f t="shared" si="60"/>
        <v>24.497248848272317</v>
      </c>
      <c r="M98" s="136">
        <f t="shared" si="61"/>
        <v>25.512321143039944</v>
      </c>
      <c r="N98" s="139">
        <f t="shared" si="62"/>
        <v>24.273209013021219</v>
      </c>
      <c r="O98" s="333">
        <f t="shared" si="63"/>
        <v>23.100492850547777</v>
      </c>
      <c r="P98" s="334">
        <f t="shared" si="64"/>
        <v>23.290000000000003</v>
      </c>
    </row>
    <row r="99" spans="1:16" x14ac:dyDescent="0.25">
      <c r="A99" s="227">
        <f t="shared" ref="A99:F99" si="72">A82</f>
        <v>30</v>
      </c>
      <c r="B99" s="218">
        <f t="shared" si="66"/>
        <v>51743</v>
      </c>
      <c r="C99" s="218">
        <f t="shared" si="67"/>
        <v>51980.5</v>
      </c>
      <c r="D99" s="182">
        <f t="shared" si="72"/>
        <v>237.5</v>
      </c>
      <c r="E99" s="228" t="str">
        <f t="shared" si="72"/>
        <v>GB-G-GA-5</v>
      </c>
      <c r="F99" s="134">
        <f t="shared" si="72"/>
        <v>2862.5</v>
      </c>
      <c r="G99" s="136">
        <f t="shared" si="55"/>
        <v>24.492551918235865</v>
      </c>
      <c r="H99" s="139">
        <f t="shared" si="56"/>
        <v>23.244123084349543</v>
      </c>
      <c r="I99" s="225">
        <f t="shared" si="57"/>
        <v>22.094303823483397</v>
      </c>
      <c r="J99" s="136">
        <f t="shared" si="58"/>
        <v>27.876105973549773</v>
      </c>
      <c r="K99" s="139">
        <f t="shared" si="59"/>
        <v>26.397563288782344</v>
      </c>
      <c r="L99" s="225">
        <f t="shared" si="60"/>
        <v>25.014027704692648</v>
      </c>
      <c r="M99" s="136">
        <f t="shared" si="61"/>
        <v>26.034449821735166</v>
      </c>
      <c r="N99" s="139">
        <f t="shared" si="62"/>
        <v>24.753128375840845</v>
      </c>
      <c r="O99" s="333">
        <f t="shared" si="63"/>
        <v>23.547034866523077</v>
      </c>
      <c r="P99" s="334">
        <f t="shared" si="64"/>
        <v>23.817777777777781</v>
      </c>
    </row>
    <row r="100" spans="1:16" x14ac:dyDescent="0.25">
      <c r="A100" s="227" t="str">
        <f t="shared" ref="A100:F100" si="73">A83</f>
        <v>F9</v>
      </c>
      <c r="B100" s="218">
        <f t="shared" si="66"/>
        <v>51980.5</v>
      </c>
      <c r="C100" s="218">
        <f t="shared" si="67"/>
        <v>52003.5</v>
      </c>
      <c r="D100" s="182">
        <f t="shared" si="73"/>
        <v>23</v>
      </c>
      <c r="E100" s="228" t="str">
        <f t="shared" si="73"/>
        <v>F9</v>
      </c>
      <c r="F100" s="134">
        <f t="shared" si="73"/>
        <v>2885.5</v>
      </c>
      <c r="G100" s="136">
        <f t="shared" si="55"/>
        <v>24.587473542088318</v>
      </c>
      <c r="H100" s="139">
        <f t="shared" si="56"/>
        <v>23.337650227647135</v>
      </c>
      <c r="I100" s="225">
        <f t="shared" si="57"/>
        <v>22.192004942071268</v>
      </c>
      <c r="J100" s="136">
        <f t="shared" si="58"/>
        <v>27.963879178815809</v>
      </c>
      <c r="K100" s="139">
        <f t="shared" si="59"/>
        <v>26.484047029930366</v>
      </c>
      <c r="L100" s="225">
        <f t="shared" si="60"/>
        <v>25.104371084720199</v>
      </c>
      <c r="M100" s="136">
        <f t="shared" si="61"/>
        <v>26.102943363416756</v>
      </c>
      <c r="N100" s="139">
        <f t="shared" si="62"/>
        <v>24.820615688297394</v>
      </c>
      <c r="O100" s="333">
        <f t="shared" si="63"/>
        <v>23.61753403590874</v>
      </c>
      <c r="P100" s="334">
        <f t="shared" si="64"/>
        <v>23.868888888888893</v>
      </c>
    </row>
    <row r="101" spans="1:16" x14ac:dyDescent="0.25">
      <c r="A101" s="227">
        <f t="shared" ref="A101:F101" si="74">A84</f>
        <v>30</v>
      </c>
      <c r="B101" s="218">
        <f t="shared" si="66"/>
        <v>52003.5</v>
      </c>
      <c r="C101" s="218">
        <f t="shared" si="67"/>
        <v>52363.5</v>
      </c>
      <c r="D101" s="182">
        <f t="shared" si="74"/>
        <v>360</v>
      </c>
      <c r="E101" s="228" t="str">
        <f t="shared" si="74"/>
        <v>GB-G-GA-5</v>
      </c>
      <c r="F101" s="134">
        <f t="shared" si="74"/>
        <v>3245.5</v>
      </c>
      <c r="G101" s="136">
        <f t="shared" si="55"/>
        <v>25.363918530363506</v>
      </c>
      <c r="H101" s="139">
        <f t="shared" si="56"/>
        <v>24.051326758437803</v>
      </c>
      <c r="I101" s="225">
        <f t="shared" si="57"/>
        <v>22.856046823901529</v>
      </c>
      <c r="J101" s="136">
        <f t="shared" si="58"/>
        <v>28.879801921348431</v>
      </c>
      <c r="K101" s="139">
        <f t="shared" si="59"/>
        <v>27.325925817524887</v>
      </c>
      <c r="L101" s="225">
        <f t="shared" si="60"/>
        <v>25.887699035504699</v>
      </c>
      <c r="M101" s="136">
        <f t="shared" si="61"/>
        <v>26.894380518491616</v>
      </c>
      <c r="N101" s="139">
        <f t="shared" si="62"/>
        <v>25.548072406676617</v>
      </c>
      <c r="O101" s="333">
        <f t="shared" si="63"/>
        <v>24.294397723281829</v>
      </c>
      <c r="P101" s="334">
        <f t="shared" si="64"/>
        <v>24.668888888888894</v>
      </c>
    </row>
    <row r="102" spans="1:16" x14ac:dyDescent="0.25">
      <c r="A102" s="227" t="str">
        <f t="shared" ref="A102:F102" si="75">A85</f>
        <v>F11</v>
      </c>
      <c r="B102" s="218">
        <f t="shared" si="66"/>
        <v>52363.5</v>
      </c>
      <c r="C102" s="218">
        <f t="shared" si="67"/>
        <v>52392.5</v>
      </c>
      <c r="D102" s="182">
        <f t="shared" si="75"/>
        <v>29</v>
      </c>
      <c r="E102" s="228" t="str">
        <f t="shared" si="75"/>
        <v>F11</v>
      </c>
      <c r="F102" s="134">
        <f t="shared" si="75"/>
        <v>3274.5</v>
      </c>
      <c r="G102" s="136">
        <f t="shared" si="55"/>
        <v>25.483602316960081</v>
      </c>
      <c r="H102" s="139">
        <f t="shared" si="56"/>
        <v>24.169252286943465</v>
      </c>
      <c r="I102" s="225">
        <f t="shared" si="57"/>
        <v>22.979235190816674</v>
      </c>
      <c r="J102" s="136">
        <f t="shared" si="58"/>
        <v>28.990472484509954</v>
      </c>
      <c r="K102" s="139">
        <f t="shared" si="59"/>
        <v>27.434970534624565</v>
      </c>
      <c r="L102" s="225">
        <f t="shared" si="60"/>
        <v>26.001610253800308</v>
      </c>
      <c r="M102" s="136">
        <f t="shared" si="61"/>
        <v>26.980741940611878</v>
      </c>
      <c r="N102" s="139">
        <f t="shared" si="62"/>
        <v>25.633165104991395</v>
      </c>
      <c r="O102" s="333">
        <f t="shared" si="63"/>
        <v>24.383287980333314</v>
      </c>
      <c r="P102" s="334">
        <f t="shared" si="64"/>
        <v>24.733333333333338</v>
      </c>
    </row>
    <row r="103" spans="1:16" x14ac:dyDescent="0.25">
      <c r="A103" s="227">
        <f t="shared" ref="A103:F103" si="76">A86</f>
        <v>31</v>
      </c>
      <c r="B103" s="218">
        <f t="shared" si="66"/>
        <v>52392.5</v>
      </c>
      <c r="C103" s="218">
        <f t="shared" si="67"/>
        <v>52490.5</v>
      </c>
      <c r="D103" s="182">
        <f t="shared" si="76"/>
        <v>98</v>
      </c>
      <c r="E103" s="228" t="str">
        <f t="shared" si="76"/>
        <v>GB-G-GA-6</v>
      </c>
      <c r="F103" s="134">
        <f t="shared" si="76"/>
        <v>3372.5</v>
      </c>
      <c r="G103" s="136">
        <f t="shared" si="55"/>
        <v>25.70135609986988</v>
      </c>
      <c r="H103" s="139">
        <f t="shared" si="56"/>
        <v>24.371188029340669</v>
      </c>
      <c r="I103" s="225">
        <f t="shared" si="57"/>
        <v>23.169072643875037</v>
      </c>
      <c r="J103" s="136">
        <f t="shared" si="58"/>
        <v>29.240805120686037</v>
      </c>
      <c r="K103" s="139">
        <f t="shared" si="59"/>
        <v>27.667118541685394</v>
      </c>
      <c r="L103" s="225">
        <f t="shared" si="60"/>
        <v>26.219849907017903</v>
      </c>
      <c r="M103" s="136">
        <f t="shared" si="61"/>
        <v>27.194133811010015</v>
      </c>
      <c r="N103" s="139">
        <f t="shared" si="62"/>
        <v>25.831055792328964</v>
      </c>
      <c r="O103" s="333">
        <f t="shared" si="63"/>
        <v>24.569322723970917</v>
      </c>
      <c r="P103" s="334">
        <f t="shared" si="64"/>
        <v>24.951111111111114</v>
      </c>
    </row>
    <row r="104" spans="1:16" x14ac:dyDescent="0.25">
      <c r="A104" s="227" t="str">
        <f t="shared" ref="A104:F104" si="77">A87</f>
        <v>F12</v>
      </c>
      <c r="B104" s="218">
        <f t="shared" si="66"/>
        <v>52490.5</v>
      </c>
      <c r="C104" s="218">
        <f t="shared" si="67"/>
        <v>52511.5</v>
      </c>
      <c r="D104" s="182">
        <f t="shared" si="77"/>
        <v>21</v>
      </c>
      <c r="E104" s="228" t="str">
        <f t="shared" si="77"/>
        <v>F12</v>
      </c>
      <c r="F104" s="134">
        <f t="shared" si="77"/>
        <v>3393.5</v>
      </c>
      <c r="G104" s="136">
        <f t="shared" si="55"/>
        <v>25.787335132883225</v>
      </c>
      <c r="H104" s="139">
        <f t="shared" si="56"/>
        <v>24.456202278056924</v>
      </c>
      <c r="I104" s="225">
        <f t="shared" si="57"/>
        <v>23.258441784514961</v>
      </c>
      <c r="J104" s="136">
        <f t="shared" si="58"/>
        <v>29.320309189484796</v>
      </c>
      <c r="K104" s="139">
        <f t="shared" si="59"/>
        <v>27.745730482782278</v>
      </c>
      <c r="L104" s="225">
        <f t="shared" si="60"/>
        <v>26.302488779041735</v>
      </c>
      <c r="M104" s="136">
        <f t="shared" si="61"/>
        <v>27.256174558338525</v>
      </c>
      <c r="N104" s="139">
        <f t="shared" si="62"/>
        <v>25.89240037064156</v>
      </c>
      <c r="O104" s="333">
        <f t="shared" si="63"/>
        <v>24.633809705029975</v>
      </c>
      <c r="P104" s="334">
        <f t="shared" si="64"/>
        <v>24.997777777777781</v>
      </c>
    </row>
    <row r="105" spans="1:16" x14ac:dyDescent="0.25">
      <c r="A105" s="227">
        <f t="shared" ref="A105:F105" si="78">A88</f>
        <v>31</v>
      </c>
      <c r="B105" s="218">
        <f t="shared" si="66"/>
        <v>52511.5</v>
      </c>
      <c r="C105" s="218">
        <f>D105+B105</f>
        <v>52871.5</v>
      </c>
      <c r="D105" s="182">
        <f>D88+100+184-35</f>
        <v>360</v>
      </c>
      <c r="E105" s="228" t="str">
        <f t="shared" si="78"/>
        <v>GB-G-GA-6</v>
      </c>
      <c r="F105" s="134">
        <f t="shared" si="78"/>
        <v>3504.5</v>
      </c>
      <c r="G105" s="136">
        <f t="shared" si="55"/>
        <v>26.587246988470241</v>
      </c>
      <c r="H105" s="319">
        <f t="shared" si="56"/>
        <v>25.198007046046651</v>
      </c>
      <c r="I105" s="225">
        <f t="shared" si="57"/>
        <v>23.955803856974256</v>
      </c>
      <c r="J105" s="136">
        <f t="shared" si="58"/>
        <v>30.239898465233672</v>
      </c>
      <c r="K105" s="319">
        <f t="shared" si="59"/>
        <v>28.598519080148591</v>
      </c>
      <c r="L105" s="225">
        <f t="shared" si="60"/>
        <v>27.10418546433085</v>
      </c>
      <c r="M105" s="136">
        <f t="shared" si="61"/>
        <v>28.040063061841884</v>
      </c>
      <c r="N105" s="319">
        <f t="shared" si="62"/>
        <v>26.619345752697932</v>
      </c>
      <c r="O105" s="333">
        <f t="shared" si="63"/>
        <v>25.317202640841579</v>
      </c>
      <c r="P105" s="334">
        <f t="shared" si="64"/>
        <v>25.797777777777782</v>
      </c>
    </row>
    <row r="106" spans="1:16" ht="12" thickBot="1" x14ac:dyDescent="0.3">
      <c r="A106" s="147" t="s">
        <v>117</v>
      </c>
      <c r="B106" s="148"/>
      <c r="C106" s="148">
        <f>C105</f>
        <v>52871.5</v>
      </c>
      <c r="D106" s="229"/>
      <c r="E106" s="151"/>
      <c r="F106" s="154">
        <v>0</v>
      </c>
      <c r="G106" s="157">
        <f>G105+2</f>
        <v>28.587246988470241</v>
      </c>
      <c r="H106" s="324">
        <f>H105+2</f>
        <v>27.198007046046651</v>
      </c>
      <c r="I106" s="158">
        <f>I105+2</f>
        <v>25.955803856974256</v>
      </c>
      <c r="J106" s="157">
        <f>J105+2.2</f>
        <v>32.439898465233675</v>
      </c>
      <c r="K106" s="325">
        <f>K105+2.2</f>
        <v>30.798519080148591</v>
      </c>
      <c r="L106" s="326">
        <f>L105+2.2</f>
        <v>29.30418546433085</v>
      </c>
      <c r="M106" s="157">
        <f>M105+2.5</f>
        <v>30.540063061841884</v>
      </c>
      <c r="N106" s="327">
        <f>N105+2.5</f>
        <v>29.119345752697932</v>
      </c>
      <c r="O106" s="161">
        <f>O105+2.5</f>
        <v>27.817202640841579</v>
      </c>
      <c r="P106" s="339">
        <f>P105+3</f>
        <v>28.797777777777782</v>
      </c>
    </row>
    <row r="108" spans="1:16" x14ac:dyDescent="0.25">
      <c r="H108" s="167">
        <f>(C105-B92)/(H105-H91)</f>
        <v>467.72426349153795</v>
      </c>
      <c r="I108" s="167"/>
      <c r="J108" s="167"/>
      <c r="K108" s="167">
        <f>(C105-B92)/(K105-K91)</f>
        <v>404.31183701847033</v>
      </c>
    </row>
    <row r="110" spans="1:16" ht="12" thickBot="1" x14ac:dyDescent="0.3"/>
    <row r="111" spans="1:16" ht="12" thickBot="1" x14ac:dyDescent="0.3">
      <c r="L111" s="554" t="s">
        <v>129</v>
      </c>
      <c r="M111" s="555"/>
      <c r="N111" s="556"/>
    </row>
    <row r="112" spans="1:16" x14ac:dyDescent="0.25">
      <c r="L112" s="288" t="s">
        <v>121</v>
      </c>
      <c r="M112" s="289" t="s">
        <v>120</v>
      </c>
      <c r="N112" s="290" t="s">
        <v>128</v>
      </c>
    </row>
    <row r="113" spans="12:14" ht="12" thickBot="1" x14ac:dyDescent="0.3">
      <c r="L113" s="292" t="s">
        <v>62</v>
      </c>
      <c r="M113" s="293" t="s">
        <v>62</v>
      </c>
      <c r="N113" s="294" t="s">
        <v>62</v>
      </c>
    </row>
    <row r="114" spans="12:14" ht="12" thickBot="1" x14ac:dyDescent="0.3">
      <c r="L114" s="328">
        <f>K106-H106</f>
        <v>3.6005120341019392</v>
      </c>
      <c r="M114" s="329">
        <f>N106-H106</f>
        <v>1.9213387066512801</v>
      </c>
      <c r="N114" s="330">
        <f>K106-N106</f>
        <v>1.6791733274506591</v>
      </c>
    </row>
    <row r="131" spans="1:23" x14ac:dyDescent="0.25">
      <c r="A131" s="273" t="str">
        <f>Advancement!A65</f>
        <v>DATI PER MONTAGGIO SPAZIO-TEMPO</v>
      </c>
    </row>
    <row r="134" spans="1:23" ht="12" thickBot="1" x14ac:dyDescent="0.3"/>
    <row r="135" spans="1:23" ht="12" thickBot="1" x14ac:dyDescent="0.3">
      <c r="A135" s="542" t="str">
        <f>Advancement!A69</f>
        <v>Formazione</v>
      </c>
      <c r="B135" s="545" t="str">
        <f>Advancement!B69</f>
        <v>Pk DA</v>
      </c>
      <c r="C135" s="545" t="str">
        <f>Advancement!C69</f>
        <v>Pk A</v>
      </c>
      <c r="D135" s="548" t="str">
        <f>Advancement!D69</f>
        <v>L</v>
      </c>
      <c r="E135" s="551" t="str">
        <f>Advancement!E69</f>
        <v>Classi di ammasso omogeneo</v>
      </c>
      <c r="F135" s="604" t="str">
        <f>Advancement!F69</f>
        <v>Lcum</v>
      </c>
      <c r="K135" s="95"/>
      <c r="L135" s="95"/>
      <c r="M135" s="95"/>
    </row>
    <row r="136" spans="1:23" ht="12" thickBot="1" x14ac:dyDescent="0.3">
      <c r="A136" s="543">
        <f>Advancement!A70</f>
        <v>0</v>
      </c>
      <c r="B136" s="546">
        <f>Advancement!B70</f>
        <v>0</v>
      </c>
      <c r="C136" s="546">
        <f>Advancement!C70</f>
        <v>0</v>
      </c>
      <c r="D136" s="549">
        <f>Advancement!D70</f>
        <v>0</v>
      </c>
      <c r="E136" s="552">
        <f>Advancement!E70</f>
        <v>0</v>
      </c>
      <c r="F136" s="605">
        <f>Advancement!F70</f>
        <v>0</v>
      </c>
      <c r="G136" s="534" t="str">
        <f>Advancement!G70</f>
        <v>Open TBM</v>
      </c>
      <c r="H136" s="534">
        <f>Advancement!H70</f>
        <v>0</v>
      </c>
      <c r="I136" s="535">
        <f>Advancement!I70</f>
        <v>0</v>
      </c>
      <c r="J136" s="533" t="str">
        <f>Advancement!J70</f>
        <v>S TBM</v>
      </c>
      <c r="K136" s="534">
        <f>Advancement!K70</f>
        <v>0</v>
      </c>
      <c r="L136" s="535">
        <f>Advancement!L70</f>
        <v>0</v>
      </c>
      <c r="M136" s="533" t="str">
        <f>Advancement!M70</f>
        <v>DS TBM</v>
      </c>
      <c r="N136" s="534">
        <f>Advancement!N70</f>
        <v>0</v>
      </c>
      <c r="O136" s="534">
        <f>Advancement!O70</f>
        <v>0</v>
      </c>
      <c r="P136" s="336" t="str">
        <f>Advancement!P70</f>
        <v>Progetto</v>
      </c>
      <c r="U136" s="95" t="s">
        <v>196</v>
      </c>
      <c r="V136" s="95" t="s">
        <v>197</v>
      </c>
      <c r="W136" s="95" t="s">
        <v>198</v>
      </c>
    </row>
    <row r="137" spans="1:23" x14ac:dyDescent="0.25">
      <c r="A137" s="543">
        <f>Advancement!A71</f>
        <v>0</v>
      </c>
      <c r="B137" s="546">
        <f>Advancement!B71</f>
        <v>0</v>
      </c>
      <c r="C137" s="546">
        <f>Advancement!C71</f>
        <v>0</v>
      </c>
      <c r="D137" s="549">
        <f>Advancement!D71</f>
        <v>0</v>
      </c>
      <c r="E137" s="552">
        <f>Advancement!E71</f>
        <v>0</v>
      </c>
      <c r="F137" s="605">
        <f>Advancement!F71</f>
        <v>0</v>
      </c>
      <c r="G137" s="539" t="str">
        <f>Advancement!G71</f>
        <v>t</v>
      </c>
      <c r="H137" s="539">
        <f>Advancement!H71</f>
        <v>0</v>
      </c>
      <c r="I137" s="540">
        <f>Advancement!I71</f>
        <v>0</v>
      </c>
      <c r="J137" s="541" t="str">
        <f>Advancement!J71</f>
        <v>t</v>
      </c>
      <c r="K137" s="539">
        <f>Advancement!K71</f>
        <v>0</v>
      </c>
      <c r="L137" s="540">
        <f>Advancement!L71</f>
        <v>0</v>
      </c>
      <c r="M137" s="541" t="str">
        <f>Advancement!M71</f>
        <v>t</v>
      </c>
      <c r="N137" s="539">
        <f>Advancement!N71</f>
        <v>0</v>
      </c>
      <c r="O137" s="539">
        <f>Advancement!O71</f>
        <v>0</v>
      </c>
      <c r="P137" s="337" t="str">
        <f>Advancement!P71</f>
        <v>t</v>
      </c>
    </row>
    <row r="138" spans="1:23" ht="12" thickBot="1" x14ac:dyDescent="0.3">
      <c r="A138" s="544">
        <f>Advancement!A72</f>
        <v>0</v>
      </c>
      <c r="B138" s="547">
        <f>Advancement!B72</f>
        <v>0</v>
      </c>
      <c r="C138" s="547">
        <f>Advancement!C72</f>
        <v>0</v>
      </c>
      <c r="D138" s="550">
        <f>Advancement!D72</f>
        <v>0</v>
      </c>
      <c r="E138" s="553">
        <f>Advancement!E72</f>
        <v>0</v>
      </c>
      <c r="F138" s="606">
        <f>Advancement!F72</f>
        <v>0</v>
      </c>
      <c r="G138" s="214" t="str">
        <f>Advancement!G72</f>
        <v>min</v>
      </c>
      <c r="H138" s="215" t="str">
        <f>Advancement!H72</f>
        <v>media</v>
      </c>
      <c r="I138" s="216" t="str">
        <f>Advancement!I72</f>
        <v>max</v>
      </c>
      <c r="J138" s="217" t="str">
        <f>Advancement!J72</f>
        <v>min</v>
      </c>
      <c r="K138" s="215" t="str">
        <f>Advancement!K72</f>
        <v>media</v>
      </c>
      <c r="L138" s="216" t="str">
        <f>Advancement!L72</f>
        <v>max</v>
      </c>
      <c r="M138" s="217" t="str">
        <f>Advancement!M72</f>
        <v>min</v>
      </c>
      <c r="N138" s="215" t="str">
        <f>Advancement!N72</f>
        <v>media</v>
      </c>
      <c r="O138" s="331" t="str">
        <f>Advancement!O72</f>
        <v>max</v>
      </c>
      <c r="P138" s="338" t="str">
        <f>Advancement!P72</f>
        <v>media</v>
      </c>
    </row>
    <row r="139" spans="1:23" x14ac:dyDescent="0.25">
      <c r="A139" s="320"/>
      <c r="B139" s="321"/>
      <c r="C139" s="110">
        <f>Advancement!C73</f>
        <v>49118</v>
      </c>
      <c r="D139" s="322"/>
      <c r="E139" s="323"/>
      <c r="F139" s="286"/>
      <c r="G139" s="120">
        <f>Advancement!G73</f>
        <v>0</v>
      </c>
      <c r="H139" s="123">
        <f>Advancement!H73</f>
        <v>0</v>
      </c>
      <c r="I139" s="219">
        <f>Advancement!I73</f>
        <v>0</v>
      </c>
      <c r="J139" s="284">
        <f>Advancement!J73</f>
        <v>0</v>
      </c>
      <c r="K139" s="121">
        <f>Advancement!K73</f>
        <v>0</v>
      </c>
      <c r="L139" s="219">
        <f>Advancement!L73</f>
        <v>0</v>
      </c>
      <c r="M139" s="284">
        <f>Advancement!M73</f>
        <v>0</v>
      </c>
      <c r="N139" s="121">
        <f>Advancement!N73</f>
        <v>0</v>
      </c>
      <c r="O139" s="332">
        <f>Advancement!O73</f>
        <v>0</v>
      </c>
      <c r="P139" s="335">
        <f>Advancement!P73</f>
        <v>0</v>
      </c>
    </row>
    <row r="140" spans="1:23" x14ac:dyDescent="0.25">
      <c r="A140" s="221" t="s">
        <v>131</v>
      </c>
      <c r="B140" s="222"/>
      <c r="C140" s="218">
        <f>Advancement!C74</f>
        <v>49118</v>
      </c>
      <c r="D140" s="222"/>
      <c r="E140" s="223"/>
      <c r="F140" s="224"/>
      <c r="G140" s="136">
        <f>Advancement!G74</f>
        <v>5</v>
      </c>
      <c r="H140" s="139">
        <f>Advancement!H74</f>
        <v>5</v>
      </c>
      <c r="I140" s="225">
        <f>Advancement!I74</f>
        <v>5</v>
      </c>
      <c r="J140" s="285">
        <f>Advancement!J74</f>
        <v>5</v>
      </c>
      <c r="K140" s="137">
        <f>Advancement!K74</f>
        <v>5</v>
      </c>
      <c r="L140" s="225">
        <f>Advancement!L74</f>
        <v>5</v>
      </c>
      <c r="M140" s="285">
        <f>Advancement!M74</f>
        <v>5</v>
      </c>
      <c r="N140" s="137">
        <f>Advancement!N74</f>
        <v>5</v>
      </c>
      <c r="O140" s="333">
        <f>Advancement!O74</f>
        <v>5</v>
      </c>
      <c r="P140" s="334">
        <f>Advancement!P74</f>
        <v>5</v>
      </c>
      <c r="U140" s="381">
        <f>H140-5</f>
        <v>0</v>
      </c>
      <c r="V140" s="381">
        <f>K140-5</f>
        <v>0</v>
      </c>
      <c r="W140" s="381">
        <f>N140-5</f>
        <v>0</v>
      </c>
    </row>
    <row r="141" spans="1:23" x14ac:dyDescent="0.25">
      <c r="A141" s="227">
        <f>Advancement!A75</f>
        <v>26</v>
      </c>
      <c r="B141" s="218">
        <f>Advancement!B75</f>
        <v>49118</v>
      </c>
      <c r="C141" s="218">
        <f>Advancement!C75</f>
        <v>50323</v>
      </c>
      <c r="D141" s="182">
        <f>Advancement!D75</f>
        <v>1205</v>
      </c>
      <c r="E141" s="228" t="str">
        <f>Advancement!E75</f>
        <v>GB-G-GA-1</v>
      </c>
      <c r="F141" s="134">
        <f>Advancement!F75</f>
        <v>1205</v>
      </c>
      <c r="G141" s="136">
        <f>Advancement!G75</f>
        <v>7.6597790146742435</v>
      </c>
      <c r="H141" s="139">
        <f>Advancement!H75</f>
        <v>7.4113063019487582</v>
      </c>
      <c r="I141" s="225">
        <f>Advancement!I75</f>
        <v>7.1302976030858414</v>
      </c>
      <c r="J141" s="285">
        <f>Advancement!J75</f>
        <v>8.1941793142492134</v>
      </c>
      <c r="K141" s="137">
        <f>Advancement!K75</f>
        <v>7.8957836976342968</v>
      </c>
      <c r="L141" s="225">
        <f>Advancement!L75</f>
        <v>7.5583149951293462</v>
      </c>
      <c r="M141" s="285">
        <f>Advancement!M75</f>
        <v>7.7870599557063471</v>
      </c>
      <c r="N141" s="137">
        <f>Advancement!N75</f>
        <v>7.5266968413640285</v>
      </c>
      <c r="O141" s="333">
        <f>Advancement!O75</f>
        <v>7.2322407653197196</v>
      </c>
      <c r="P141" s="334">
        <f>Advancement!P75</f>
        <v>7.6777777777777771</v>
      </c>
      <c r="U141" s="381">
        <f t="shared" ref="U141:U154" si="79">H141-5</f>
        <v>2.4113063019487582</v>
      </c>
      <c r="V141" s="381">
        <f t="shared" ref="V141:V154" si="80">K141-5</f>
        <v>2.8957836976342968</v>
      </c>
      <c r="W141" s="381">
        <f t="shared" ref="W141:W154" si="81">N141-5</f>
        <v>2.5266968413640285</v>
      </c>
    </row>
    <row r="142" spans="1:23" x14ac:dyDescent="0.25">
      <c r="A142" s="125">
        <f>Advancement!A76</f>
        <v>27</v>
      </c>
      <c r="B142" s="126">
        <f>Advancement!B76</f>
        <v>50323</v>
      </c>
      <c r="C142" s="126">
        <f>Advancement!C76</f>
        <v>50395</v>
      </c>
      <c r="D142" s="182">
        <f>Advancement!D76</f>
        <v>72</v>
      </c>
      <c r="E142" s="128" t="str">
        <f>Advancement!E76</f>
        <v>GB-G-GA-2</v>
      </c>
      <c r="F142" s="134">
        <f>Advancement!F76</f>
        <v>1277</v>
      </c>
      <c r="G142" s="136">
        <f>Advancement!G76</f>
        <v>7.8357032916426705</v>
      </c>
      <c r="H142" s="137">
        <f>Advancement!H76</f>
        <v>7.5749112933903637</v>
      </c>
      <c r="I142" s="138">
        <f>Advancement!I76</f>
        <v>7.2898556726456727</v>
      </c>
      <c r="J142" s="285">
        <f>Advancement!J76</f>
        <v>8.3865695529861899</v>
      </c>
      <c r="K142" s="137">
        <f>Advancement!K76</f>
        <v>8.0747016042723931</v>
      </c>
      <c r="L142" s="225">
        <f>Advancement!L76</f>
        <v>7.7328072006623918</v>
      </c>
      <c r="M142" s="285">
        <f>Advancement!M76</f>
        <v>7.9472147888646605</v>
      </c>
      <c r="N142" s="137">
        <f>Advancement!N76</f>
        <v>7.675636661153086</v>
      </c>
      <c r="O142" s="333">
        <f>Advancement!O76</f>
        <v>7.3774964199102655</v>
      </c>
      <c r="P142" s="334">
        <f>Advancement!P76</f>
        <v>7.8377777777777773</v>
      </c>
      <c r="U142" s="381">
        <f t="shared" si="79"/>
        <v>2.5749112933903637</v>
      </c>
      <c r="V142" s="381">
        <f t="shared" si="80"/>
        <v>3.0747016042723931</v>
      </c>
      <c r="W142" s="381">
        <f t="shared" si="81"/>
        <v>2.675636661153086</v>
      </c>
    </row>
    <row r="143" spans="1:23" x14ac:dyDescent="0.25">
      <c r="A143" s="125">
        <f>Advancement!A77</f>
        <v>28</v>
      </c>
      <c r="B143" s="126">
        <f>Advancement!B77</f>
        <v>50395</v>
      </c>
      <c r="C143" s="126">
        <f>Advancement!C77</f>
        <v>51494.5</v>
      </c>
      <c r="D143" s="182">
        <f>Advancement!D77</f>
        <v>1099.5</v>
      </c>
      <c r="E143" s="128" t="str">
        <f>Advancement!E77</f>
        <v>GB-G-GA-3</v>
      </c>
      <c r="F143" s="134">
        <f>Advancement!F77</f>
        <v>2376.5</v>
      </c>
      <c r="G143" s="136">
        <f>Advancement!G77</f>
        <v>10.374068666908421</v>
      </c>
      <c r="H143" s="137">
        <f>Advancement!H77</f>
        <v>9.8554763121373412</v>
      </c>
      <c r="I143" s="138">
        <f>Advancement!I77</f>
        <v>9.3247622523730342</v>
      </c>
      <c r="J143" s="285">
        <f>Advancement!J77</f>
        <v>11.399212002611943</v>
      </c>
      <c r="K143" s="137">
        <f>Advancement!K77</f>
        <v>10.781375376124245</v>
      </c>
      <c r="L143" s="225">
        <f>Advancement!L77</f>
        <v>10.14792285061786</v>
      </c>
      <c r="M143" s="285">
        <f>Advancement!M77</f>
        <v>10.558972117185007</v>
      </c>
      <c r="N143" s="137">
        <f>Advancement!N77</f>
        <v>10.022139831446237</v>
      </c>
      <c r="O143" s="333">
        <f>Advancement!O77</f>
        <v>9.4712384098685938</v>
      </c>
      <c r="P143" s="334">
        <f>Advancement!P77</f>
        <v>10.281111111111111</v>
      </c>
      <c r="U143" s="381">
        <f t="shared" si="79"/>
        <v>4.8554763121373412</v>
      </c>
      <c r="V143" s="381">
        <f t="shared" si="80"/>
        <v>5.7813753761242452</v>
      </c>
      <c r="W143" s="381">
        <f t="shared" si="81"/>
        <v>5.0221398314462373</v>
      </c>
    </row>
    <row r="144" spans="1:23" x14ac:dyDescent="0.25">
      <c r="A144" s="125" t="str">
        <f>Advancement!A78</f>
        <v>F4</v>
      </c>
      <c r="B144" s="126">
        <f>Advancement!B78</f>
        <v>51494.5</v>
      </c>
      <c r="C144" s="126">
        <f>Advancement!C78</f>
        <v>51505.5</v>
      </c>
      <c r="D144" s="182">
        <f>Advancement!D78</f>
        <v>11</v>
      </c>
      <c r="E144" s="128" t="str">
        <f>Advancement!E78</f>
        <v>F4</v>
      </c>
      <c r="F144" s="134">
        <f>Advancement!F78</f>
        <v>2387.5</v>
      </c>
      <c r="G144" s="136">
        <f>Advancement!G78</f>
        <v>10.419628078695421</v>
      </c>
      <c r="H144" s="137">
        <f>Advancement!H78</f>
        <v>9.9004420602754859</v>
      </c>
      <c r="I144" s="138">
        <f>Advancement!I78</f>
        <v>9.3718964773420481</v>
      </c>
      <c r="J144" s="285">
        <f>Advancement!J78</f>
        <v>11.441340396968069</v>
      </c>
      <c r="K144" s="137">
        <f>Advancement!K78</f>
        <v>10.822954814834702</v>
      </c>
      <c r="L144" s="225">
        <f>Advancement!L78</f>
        <v>10.191507461113899</v>
      </c>
      <c r="M144" s="285">
        <f>Advancement!M78</f>
        <v>10.59184687578661</v>
      </c>
      <c r="N144" s="137">
        <f>Advancement!N78</f>
        <v>10.054586214254975</v>
      </c>
      <c r="O144" s="333">
        <f>Advancement!O78</f>
        <v>9.5052495221053874</v>
      </c>
      <c r="P144" s="334">
        <f>Advancement!P78</f>
        <v>10.305555555555555</v>
      </c>
      <c r="U144" s="381">
        <f t="shared" si="79"/>
        <v>4.9004420602754859</v>
      </c>
      <c r="V144" s="381">
        <f t="shared" si="80"/>
        <v>5.8229548148347021</v>
      </c>
      <c r="W144" s="381">
        <f t="shared" si="81"/>
        <v>5.0545862142549751</v>
      </c>
    </row>
    <row r="145" spans="1:23" x14ac:dyDescent="0.25">
      <c r="A145" s="125">
        <f>Advancement!A79</f>
        <v>28</v>
      </c>
      <c r="B145" s="126">
        <f>Advancement!B79</f>
        <v>51505.5</v>
      </c>
      <c r="C145" s="126">
        <f>Advancement!C79</f>
        <v>51564</v>
      </c>
      <c r="D145" s="182">
        <f>Advancement!D79</f>
        <v>58.5</v>
      </c>
      <c r="E145" s="128" t="str">
        <f>Advancement!E79</f>
        <v>GB-G-GA-3</v>
      </c>
      <c r="F145" s="134">
        <f>Advancement!F79</f>
        <v>2446</v>
      </c>
      <c r="G145" s="136">
        <f>Advancement!G79</f>
        <v>10.554684353777773</v>
      </c>
      <c r="H145" s="137">
        <f>Advancement!H79</f>
        <v>10.021781808885489</v>
      </c>
      <c r="I145" s="138">
        <f>Advancement!I79</f>
        <v>9.4801657223752915</v>
      </c>
      <c r="J145" s="285">
        <f>Advancement!J79</f>
        <v>11.601631059362891</v>
      </c>
      <c r="K145" s="137">
        <f>Advancement!K79</f>
        <v>10.966966106925046</v>
      </c>
      <c r="L145" s="225">
        <f>Advancement!L79</f>
        <v>10.320006110975104</v>
      </c>
      <c r="M145" s="285">
        <f>Advancement!M79</f>
        <v>10.730808043323435</v>
      </c>
      <c r="N145" s="137">
        <f>Advancement!N79</f>
        <v>10.179434268336056</v>
      </c>
      <c r="O145" s="333">
        <f>Advancement!O79</f>
        <v>9.6166491641359126</v>
      </c>
      <c r="P145" s="334">
        <f>Advancement!P79</f>
        <v>10.435555555555556</v>
      </c>
      <c r="U145" s="381">
        <f t="shared" si="79"/>
        <v>5.0217818088854891</v>
      </c>
      <c r="V145" s="381">
        <f t="shared" si="80"/>
        <v>5.9669661069250459</v>
      </c>
      <c r="W145" s="381">
        <f t="shared" si="81"/>
        <v>5.1794342683360561</v>
      </c>
    </row>
    <row r="146" spans="1:23" x14ac:dyDescent="0.25">
      <c r="A146" s="125">
        <f>Advancement!A80</f>
        <v>29</v>
      </c>
      <c r="B146" s="126">
        <f>Advancement!B80</f>
        <v>51564</v>
      </c>
      <c r="C146" s="126">
        <f>Advancement!C80</f>
        <v>51639</v>
      </c>
      <c r="D146" s="182">
        <f>Advancement!D80</f>
        <v>75</v>
      </c>
      <c r="E146" s="128" t="str">
        <f>Advancement!E80</f>
        <v>GB-G-GA-4</v>
      </c>
      <c r="F146" s="134">
        <f>Advancement!F80</f>
        <v>2521</v>
      </c>
      <c r="G146" s="136">
        <f>Advancement!G80</f>
        <v>10.708809261492421</v>
      </c>
      <c r="H146" s="137">
        <f>Advancement!H80</f>
        <v>10.16704116505985</v>
      </c>
      <c r="I146" s="138">
        <f>Advancement!I80</f>
        <v>9.6200784223550926</v>
      </c>
      <c r="J146" s="285">
        <f>Advancement!J80</f>
        <v>11.780000448451085</v>
      </c>
      <c r="K146" s="137">
        <f>Advancement!K80</f>
        <v>11.135075356781892</v>
      </c>
      <c r="L146" s="225">
        <f>Advancement!L80</f>
        <v>10.481927653645426</v>
      </c>
      <c r="M146" s="285">
        <f>Advancement!M80</f>
        <v>10.883383177726127</v>
      </c>
      <c r="N146" s="137">
        <f>Advancement!N80</f>
        <v>10.323232997043714</v>
      </c>
      <c r="O146" s="333">
        <f>Advancement!O80</f>
        <v>9.7551549989201529</v>
      </c>
      <c r="P146" s="334">
        <f>Advancement!P80</f>
        <v>10.602222222222222</v>
      </c>
      <c r="U146" s="381">
        <f t="shared" si="79"/>
        <v>5.1670411650598496</v>
      </c>
      <c r="V146" s="381">
        <f t="shared" si="80"/>
        <v>6.1350753567818916</v>
      </c>
      <c r="W146" s="381">
        <f t="shared" si="81"/>
        <v>5.3232329970437142</v>
      </c>
    </row>
    <row r="147" spans="1:23" x14ac:dyDescent="0.25">
      <c r="A147" s="125" t="str">
        <f>Advancement!A81</f>
        <v>F6-F7</v>
      </c>
      <c r="B147" s="126">
        <f>Advancement!B81</f>
        <v>51639</v>
      </c>
      <c r="C147" s="126">
        <f>Advancement!C81</f>
        <v>51743</v>
      </c>
      <c r="D147" s="182">
        <f>Advancement!D81</f>
        <v>104</v>
      </c>
      <c r="E147" s="128" t="str">
        <f>Advancement!E81</f>
        <v>F6-F7</v>
      </c>
      <c r="F147" s="134">
        <f>Advancement!F81</f>
        <v>2625</v>
      </c>
      <c r="G147" s="136">
        <f>Advancement!G81</f>
        <v>11.127769363250072</v>
      </c>
      <c r="H147" s="137">
        <f>Advancement!H81</f>
        <v>10.579912873148139</v>
      </c>
      <c r="I147" s="138">
        <f>Advancement!I81</f>
        <v>10.051196955332802</v>
      </c>
      <c r="J147" s="285">
        <f>Advancement!J81</f>
        <v>12.16740923390353</v>
      </c>
      <c r="K147" s="137">
        <f>Advancement!K81</f>
        <v>11.516854257224026</v>
      </c>
      <c r="L147" s="225">
        <f>Advancement!L81</f>
        <v>10.880579235374197</v>
      </c>
      <c r="M147" s="285">
        <f>Advancement!M81</f>
        <v>11.185696391807515</v>
      </c>
      <c r="N147" s="137">
        <f>Advancement!N81</f>
        <v>10.621152948255785</v>
      </c>
      <c r="O147" s="333">
        <f>Advancement!O81</f>
        <v>10.066241493332777</v>
      </c>
      <c r="P147" s="334">
        <f>Advancement!P81</f>
        <v>10.833333333333334</v>
      </c>
      <c r="U147" s="381">
        <f t="shared" si="79"/>
        <v>5.5799128731481389</v>
      </c>
      <c r="V147" s="381">
        <f t="shared" si="80"/>
        <v>6.5168542572240256</v>
      </c>
      <c r="W147" s="381">
        <f t="shared" si="81"/>
        <v>5.6211529482557854</v>
      </c>
    </row>
    <row r="148" spans="1:23" x14ac:dyDescent="0.25">
      <c r="A148" s="125">
        <f>Advancement!A82</f>
        <v>30</v>
      </c>
      <c r="B148" s="126">
        <f>Advancement!B82</f>
        <v>51743</v>
      </c>
      <c r="C148" s="126">
        <f>Advancement!C82</f>
        <v>51980.5</v>
      </c>
      <c r="D148" s="182">
        <f>Advancement!D82</f>
        <v>237.5</v>
      </c>
      <c r="E148" s="128" t="str">
        <f>Advancement!E82</f>
        <v>GB-G-GA-5</v>
      </c>
      <c r="F148" s="134">
        <f>Advancement!F82</f>
        <v>2862.5</v>
      </c>
      <c r="G148" s="136">
        <f>Advancement!G82</f>
        <v>11.640007376348288</v>
      </c>
      <c r="H148" s="137">
        <f>Advancement!H82</f>
        <v>11.050741139989205</v>
      </c>
      <c r="I148" s="138">
        <f>Advancement!I82</f>
        <v>10.489280141262489</v>
      </c>
      <c r="J148" s="285">
        <f>Advancement!J82</f>
        <v>12.771663820991025</v>
      </c>
      <c r="K148" s="137">
        <f>Advancement!K82</f>
        <v>12.072260401817633</v>
      </c>
      <c r="L148" s="225">
        <f>Advancement!L82</f>
        <v>11.397358091794526</v>
      </c>
      <c r="M148" s="285">
        <f>Advancement!M82</f>
        <v>11.707825070502734</v>
      </c>
      <c r="N148" s="137">
        <f>Advancement!N82</f>
        <v>11.101072311075411</v>
      </c>
      <c r="O148" s="333">
        <f>Advancement!O82</f>
        <v>10.512783509308079</v>
      </c>
      <c r="P148" s="334">
        <f>Advancement!P82</f>
        <v>11.361111111111112</v>
      </c>
      <c r="U148" s="381">
        <f t="shared" si="79"/>
        <v>6.0507411399892046</v>
      </c>
      <c r="V148" s="381">
        <f t="shared" si="80"/>
        <v>7.0722604018176334</v>
      </c>
      <c r="W148" s="381">
        <f t="shared" si="81"/>
        <v>6.101072311075411</v>
      </c>
    </row>
    <row r="149" spans="1:23" x14ac:dyDescent="0.25">
      <c r="A149" s="141" t="str">
        <f>Advancement!A83</f>
        <v>F9</v>
      </c>
      <c r="B149" s="142">
        <f>Advancement!B83</f>
        <v>51980.5</v>
      </c>
      <c r="C149" s="142">
        <f>Advancement!C83</f>
        <v>52003.5</v>
      </c>
      <c r="D149" s="182">
        <f>Advancement!D83</f>
        <v>23</v>
      </c>
      <c r="E149" s="143" t="str">
        <f>Advancement!E83</f>
        <v>F9</v>
      </c>
      <c r="F149" s="134">
        <f>Advancement!F83</f>
        <v>2885.5</v>
      </c>
      <c r="G149" s="136">
        <f>Advancement!G83</f>
        <v>11.734929000200744</v>
      </c>
      <c r="H149" s="137">
        <f>Advancement!H83</f>
        <v>11.144268283286799</v>
      </c>
      <c r="I149" s="138">
        <f>Advancement!I83</f>
        <v>10.586981259850361</v>
      </c>
      <c r="J149" s="285">
        <f>Advancement!J83</f>
        <v>12.85943702625706</v>
      </c>
      <c r="K149" s="137">
        <f>Advancement!K83</f>
        <v>12.158744142965656</v>
      </c>
      <c r="L149" s="225">
        <f>Advancement!L83</f>
        <v>11.487701471822078</v>
      </c>
      <c r="M149" s="285">
        <f>Advancement!M83</f>
        <v>11.776318612184323</v>
      </c>
      <c r="N149" s="137">
        <f>Advancement!N83</f>
        <v>11.16855962353196</v>
      </c>
      <c r="O149" s="333">
        <f>Advancement!O83</f>
        <v>10.58328267869374</v>
      </c>
      <c r="P149" s="334">
        <f>Advancement!P83</f>
        <v>11.412222222222224</v>
      </c>
      <c r="U149" s="381">
        <f t="shared" si="79"/>
        <v>6.1442682832867987</v>
      </c>
      <c r="V149" s="381">
        <f t="shared" si="80"/>
        <v>7.1587441429656558</v>
      </c>
      <c r="W149" s="381">
        <f t="shared" si="81"/>
        <v>6.1685596235319604</v>
      </c>
    </row>
    <row r="150" spans="1:23" x14ac:dyDescent="0.25">
      <c r="A150" s="141">
        <f>Advancement!A84</f>
        <v>30</v>
      </c>
      <c r="B150" s="142">
        <f>Advancement!B84</f>
        <v>52003.5</v>
      </c>
      <c r="C150" s="142">
        <f>Advancement!C84</f>
        <v>52363.5</v>
      </c>
      <c r="D150" s="182">
        <f>Advancement!D84</f>
        <v>360</v>
      </c>
      <c r="E150" s="143" t="str">
        <f>Advancement!E84</f>
        <v>GB-G-GA-5</v>
      </c>
      <c r="F150" s="134">
        <f>Advancement!F84</f>
        <v>3245.5</v>
      </c>
      <c r="G150" s="136">
        <f>Advancement!G84</f>
        <v>12.511373988475933</v>
      </c>
      <c r="H150" s="137">
        <f>Advancement!H84</f>
        <v>11.857944814077467</v>
      </c>
      <c r="I150" s="138">
        <f>Advancement!I84</f>
        <v>11.251023141680625</v>
      </c>
      <c r="J150" s="285">
        <f>Advancement!J84</f>
        <v>13.775359768789684</v>
      </c>
      <c r="K150" s="137">
        <f>Advancement!K84</f>
        <v>13.000622930560176</v>
      </c>
      <c r="L150" s="225">
        <f>Advancement!L84</f>
        <v>12.271029422606578</v>
      </c>
      <c r="M150" s="285">
        <f>Advancement!M84</f>
        <v>12.567755767259182</v>
      </c>
      <c r="N150" s="137">
        <f>Advancement!N84</f>
        <v>11.896016341911182</v>
      </c>
      <c r="O150" s="333">
        <f>Advancement!O84</f>
        <v>11.260146366066829</v>
      </c>
      <c r="P150" s="334">
        <f>Advancement!P84</f>
        <v>12.212222222222225</v>
      </c>
      <c r="U150" s="381">
        <f t="shared" si="79"/>
        <v>6.8579448140774666</v>
      </c>
      <c r="V150" s="381">
        <f t="shared" si="80"/>
        <v>8.0006229305601764</v>
      </c>
      <c r="W150" s="381">
        <f t="shared" si="81"/>
        <v>6.8960163419111815</v>
      </c>
    </row>
    <row r="151" spans="1:23" x14ac:dyDescent="0.25">
      <c r="A151" s="141" t="str">
        <f>Advancement!A85</f>
        <v>F11</v>
      </c>
      <c r="B151" s="142">
        <f>Advancement!B85</f>
        <v>52363.5</v>
      </c>
      <c r="C151" s="142">
        <f>Advancement!C85</f>
        <v>52392.5</v>
      </c>
      <c r="D151" s="182">
        <f>Advancement!D85</f>
        <v>29</v>
      </c>
      <c r="E151" s="143" t="str">
        <f>Advancement!E85</f>
        <v>F11</v>
      </c>
      <c r="F151" s="134">
        <f>Advancement!F85</f>
        <v>3274.5</v>
      </c>
      <c r="G151" s="136">
        <f>Advancement!G85</f>
        <v>12.631057775072508</v>
      </c>
      <c r="H151" s="137">
        <f>Advancement!H85</f>
        <v>11.975870342583129</v>
      </c>
      <c r="I151" s="138">
        <f>Advancement!I85</f>
        <v>11.374211508595767</v>
      </c>
      <c r="J151" s="285">
        <f>Advancement!J85</f>
        <v>13.886030331951208</v>
      </c>
      <c r="K151" s="137">
        <f>Advancement!K85</f>
        <v>13.109667647659856</v>
      </c>
      <c r="L151" s="225">
        <f>Advancement!L85</f>
        <v>12.384940640902185</v>
      </c>
      <c r="M151" s="285">
        <f>Advancement!M85</f>
        <v>12.654117189379447</v>
      </c>
      <c r="N151" s="137">
        <f>Advancement!N85</f>
        <v>11.981109040225959</v>
      </c>
      <c r="O151" s="333">
        <f>Advancement!O85</f>
        <v>11.349036623118314</v>
      </c>
      <c r="P151" s="334">
        <f>Advancement!P85</f>
        <v>12.276666666666669</v>
      </c>
      <c r="U151" s="381">
        <f t="shared" si="79"/>
        <v>6.9758703425831285</v>
      </c>
      <c r="V151" s="381">
        <f t="shared" si="80"/>
        <v>8.1096676476598564</v>
      </c>
      <c r="W151" s="381">
        <f t="shared" si="81"/>
        <v>6.9811090402259595</v>
      </c>
    </row>
    <row r="152" spans="1:23" x14ac:dyDescent="0.25">
      <c r="A152" s="141">
        <f>Advancement!A86</f>
        <v>31</v>
      </c>
      <c r="B152" s="142">
        <f>Advancement!B86</f>
        <v>52392.5</v>
      </c>
      <c r="C152" s="142">
        <f>Advancement!C86</f>
        <v>52490.5</v>
      </c>
      <c r="D152" s="182">
        <f>Advancement!D86</f>
        <v>98</v>
      </c>
      <c r="E152" s="143" t="str">
        <f>Advancement!E86</f>
        <v>GB-G-GA-6</v>
      </c>
      <c r="F152" s="134">
        <f>Advancement!F86</f>
        <v>3372.5</v>
      </c>
      <c r="G152" s="136">
        <f>Advancement!G86</f>
        <v>12.848811557982307</v>
      </c>
      <c r="H152" s="137">
        <f>Advancement!H86</f>
        <v>12.177806084980332</v>
      </c>
      <c r="I152" s="138">
        <f>Advancement!I86</f>
        <v>11.56404896165413</v>
      </c>
      <c r="J152" s="285">
        <f>Advancement!J86</f>
        <v>14.13636296812729</v>
      </c>
      <c r="K152" s="137">
        <f>Advancement!K86</f>
        <v>13.341815654720687</v>
      </c>
      <c r="L152" s="225">
        <f>Advancement!L86</f>
        <v>12.603180294119777</v>
      </c>
      <c r="M152" s="285">
        <f>Advancement!M86</f>
        <v>12.867509059777584</v>
      </c>
      <c r="N152" s="137">
        <f>Advancement!N86</f>
        <v>12.178999727563527</v>
      </c>
      <c r="O152" s="333">
        <f>Advancement!O86</f>
        <v>11.535071366755917</v>
      </c>
      <c r="P152" s="334">
        <f>Advancement!P86</f>
        <v>12.494444444444447</v>
      </c>
      <c r="U152" s="381">
        <f t="shared" si="79"/>
        <v>7.1778060849803325</v>
      </c>
      <c r="V152" s="381">
        <f t="shared" si="80"/>
        <v>8.341815654720687</v>
      </c>
      <c r="W152" s="381">
        <f t="shared" si="81"/>
        <v>7.1789997275635269</v>
      </c>
    </row>
    <row r="153" spans="1:23" x14ac:dyDescent="0.25">
      <c r="A153" s="141" t="str">
        <f>Advancement!A87</f>
        <v>F12</v>
      </c>
      <c r="B153" s="142">
        <f>Advancement!B87</f>
        <v>52490.5</v>
      </c>
      <c r="C153" s="142">
        <f>Advancement!C87</f>
        <v>52511.5</v>
      </c>
      <c r="D153" s="182">
        <f>Advancement!D87</f>
        <v>21</v>
      </c>
      <c r="E153" s="143" t="str">
        <f>Advancement!E87</f>
        <v>F12</v>
      </c>
      <c r="F153" s="134">
        <f>Advancement!F87</f>
        <v>3393.5</v>
      </c>
      <c r="G153" s="136">
        <f>Advancement!G87</f>
        <v>12.934790590995652</v>
      </c>
      <c r="H153" s="137">
        <f>Advancement!H87</f>
        <v>12.262820333696588</v>
      </c>
      <c r="I153" s="138">
        <f>Advancement!I87</f>
        <v>11.653418102294056</v>
      </c>
      <c r="J153" s="285">
        <f>Advancement!J87</f>
        <v>14.215867036926049</v>
      </c>
      <c r="K153" s="137">
        <f>Advancement!K87</f>
        <v>13.42042759581757</v>
      </c>
      <c r="L153" s="225">
        <f>Advancement!L87</f>
        <v>12.685819166143609</v>
      </c>
      <c r="M153" s="285">
        <f>Advancement!M87</f>
        <v>12.929549807106095</v>
      </c>
      <c r="N153" s="137">
        <f>Advancement!N87</f>
        <v>12.240344305876123</v>
      </c>
      <c r="O153" s="333">
        <f>Advancement!O87</f>
        <v>11.599558347814977</v>
      </c>
      <c r="P153" s="334">
        <f>Advancement!P87</f>
        <v>12.541111111111114</v>
      </c>
      <c r="U153" s="381">
        <f t="shared" si="79"/>
        <v>7.2628203336965882</v>
      </c>
      <c r="V153" s="381">
        <f t="shared" si="80"/>
        <v>8.4204275958175696</v>
      </c>
      <c r="W153" s="381">
        <f t="shared" si="81"/>
        <v>7.240344305876123</v>
      </c>
    </row>
    <row r="154" spans="1:23" x14ac:dyDescent="0.25">
      <c r="A154" s="141">
        <f>Advancement!A88</f>
        <v>31</v>
      </c>
      <c r="B154" s="142">
        <f>Advancement!B88</f>
        <v>52511.5</v>
      </c>
      <c r="C154" s="142">
        <f>Advancement!C88</f>
        <v>52622.5</v>
      </c>
      <c r="D154" s="182">
        <f>Advancement!D88</f>
        <v>111</v>
      </c>
      <c r="E154" s="143" t="str">
        <f>Advancement!E88</f>
        <v>GB-G-GA-6</v>
      </c>
      <c r="F154" s="134">
        <f>Advancement!F88</f>
        <v>3504.5</v>
      </c>
      <c r="G154" s="136">
        <f>Advancement!G88</f>
        <v>13.181430079801649</v>
      </c>
      <c r="H154" s="137">
        <f>Advancement!H88</f>
        <v>12.49154347049342</v>
      </c>
      <c r="I154" s="138">
        <f>Advancement!I88</f>
        <v>11.868438074635673</v>
      </c>
      <c r="J154" s="285">
        <f>Advancement!J88</f>
        <v>14.499407063615285</v>
      </c>
      <c r="K154" s="137">
        <f>Advancement!K88</f>
        <v>13.683370746672184</v>
      </c>
      <c r="L154" s="225">
        <f>Advancement!L88</f>
        <v>12.933008977441087</v>
      </c>
      <c r="M154" s="285">
        <f>Advancement!M88</f>
        <v>13.171248762352965</v>
      </c>
      <c r="N154" s="137">
        <f>Advancement!N88</f>
        <v>12.464485798676836</v>
      </c>
      <c r="O154" s="333">
        <f>Advancement!O88</f>
        <v>11.810271169690221</v>
      </c>
      <c r="P154" s="334">
        <f>Advancement!P88</f>
        <v>12.78777777777778</v>
      </c>
      <c r="U154" s="381">
        <f t="shared" si="79"/>
        <v>7.4915434704934203</v>
      </c>
      <c r="V154" s="381">
        <f t="shared" si="80"/>
        <v>8.6833707466721837</v>
      </c>
      <c r="W154" s="381">
        <f t="shared" si="81"/>
        <v>7.4644857986768365</v>
      </c>
    </row>
    <row r="155" spans="1:23" x14ac:dyDescent="0.25">
      <c r="A155" s="141" t="str">
        <f>Advancement!A89</f>
        <v>Smont + Trasp</v>
      </c>
      <c r="B155" s="142">
        <f>Advancement!B89</f>
        <v>0</v>
      </c>
      <c r="C155" s="142">
        <f>Advancement!C89</f>
        <v>52622.5</v>
      </c>
      <c r="D155" s="182"/>
      <c r="E155" s="130"/>
      <c r="F155" s="134"/>
      <c r="G155" s="136">
        <f>Advancement!G89</f>
        <v>16.18143007980165</v>
      </c>
      <c r="H155" s="137">
        <f>Advancement!H89</f>
        <v>15.49154347049342</v>
      </c>
      <c r="I155" s="138">
        <f>Advancement!I89</f>
        <v>14.868438074635673</v>
      </c>
      <c r="J155" s="136">
        <f>Advancement!J89</f>
        <v>17.699407063615286</v>
      </c>
      <c r="K155" s="137">
        <f>Advancement!K89</f>
        <v>16.883370746672185</v>
      </c>
      <c r="L155" s="138">
        <f>Advancement!L89</f>
        <v>16.133008977441087</v>
      </c>
      <c r="M155" s="136">
        <f>Advancement!M89</f>
        <v>16.671248762352967</v>
      </c>
      <c r="N155" s="137">
        <f>Advancement!N89</f>
        <v>15.964485798676836</v>
      </c>
      <c r="O155" s="140">
        <f>Advancement!O89</f>
        <v>15.310271169690221</v>
      </c>
      <c r="P155" s="334">
        <f>Advancement!P89</f>
        <v>15.78777777777778</v>
      </c>
    </row>
    <row r="156" spans="1:23" x14ac:dyDescent="0.25">
      <c r="A156" s="141" t="str">
        <f>Advancement!A90</f>
        <v>Rimontaggio</v>
      </c>
      <c r="B156" s="142">
        <f>Advancement!B90</f>
        <v>0</v>
      </c>
      <c r="C156" s="142">
        <f>Advancement!C90</f>
        <v>49267</v>
      </c>
      <c r="D156" s="182"/>
      <c r="E156" s="130"/>
      <c r="F156" s="134"/>
      <c r="G156" s="136">
        <f>Advancement!G90</f>
        <v>16.18143007980165</v>
      </c>
      <c r="H156" s="137">
        <f>Advancement!H90</f>
        <v>15.49154347049342</v>
      </c>
      <c r="I156" s="138">
        <f>Advancement!I90</f>
        <v>14.868438074635673</v>
      </c>
      <c r="J156" s="136">
        <f>Advancement!J90</f>
        <v>17.699407063615286</v>
      </c>
      <c r="K156" s="137">
        <f>Advancement!K90</f>
        <v>16.883370746672185</v>
      </c>
      <c r="L156" s="138">
        <f>Advancement!L90</f>
        <v>16.133008977441087</v>
      </c>
      <c r="M156" s="136">
        <f>Advancement!M90</f>
        <v>16.671248762352967</v>
      </c>
      <c r="N156" s="137">
        <f>Advancement!N90</f>
        <v>15.964485798676836</v>
      </c>
      <c r="O156" s="140">
        <f>Advancement!O90</f>
        <v>15.310271169690221</v>
      </c>
      <c r="P156" s="334">
        <f>Advancement!P90</f>
        <v>15.78777777777778</v>
      </c>
    </row>
    <row r="157" spans="1:23" x14ac:dyDescent="0.25">
      <c r="A157" s="125">
        <f>Advancement!A91</f>
        <v>0</v>
      </c>
      <c r="B157" s="126">
        <f>Advancement!B91</f>
        <v>0</v>
      </c>
      <c r="C157" s="126">
        <f>Advancement!C91</f>
        <v>49267</v>
      </c>
      <c r="D157" s="182"/>
      <c r="E157" s="130"/>
      <c r="F157" s="134"/>
      <c r="G157" s="136">
        <f>Advancement!G91</f>
        <v>18.18143007980165</v>
      </c>
      <c r="H157" s="137">
        <f>Advancement!H91</f>
        <v>17.491543470493419</v>
      </c>
      <c r="I157" s="138">
        <f>Advancement!I91</f>
        <v>16.868438074635673</v>
      </c>
      <c r="J157" s="136">
        <f>Advancement!J91</f>
        <v>20.499407063615287</v>
      </c>
      <c r="K157" s="137">
        <f>Advancement!K91</f>
        <v>19.683370746672185</v>
      </c>
      <c r="L157" s="138">
        <f>Advancement!L91</f>
        <v>18.933008977441087</v>
      </c>
      <c r="M157" s="136">
        <f>Advancement!M91</f>
        <v>19.671248762352967</v>
      </c>
      <c r="N157" s="137">
        <f>Advancement!N91</f>
        <v>18.964485798676836</v>
      </c>
      <c r="O157" s="140">
        <f>Advancement!O91</f>
        <v>18.310271169690221</v>
      </c>
      <c r="P157" s="334">
        <f>Advancement!P91</f>
        <v>17.78777777777778</v>
      </c>
    </row>
    <row r="158" spans="1:23" x14ac:dyDescent="0.25">
      <c r="A158" s="227">
        <f>Advancement!A92</f>
        <v>26</v>
      </c>
      <c r="B158" s="218">
        <f>Advancement!B92</f>
        <v>49267</v>
      </c>
      <c r="C158" s="218">
        <f>Advancement!C92</f>
        <v>50323</v>
      </c>
      <c r="D158" s="182">
        <f>Advancement!D92</f>
        <v>1056</v>
      </c>
      <c r="E158" s="228" t="str">
        <f>Advancement!E92</f>
        <v>GB-G-GA-1</v>
      </c>
      <c r="F158" s="134">
        <f>Advancement!F92</f>
        <v>1205</v>
      </c>
      <c r="G158" s="136">
        <f>Advancement!G92</f>
        <v>20.512323556561817</v>
      </c>
      <c r="H158" s="139">
        <f>Advancement!H92</f>
        <v>19.604688246309095</v>
      </c>
      <c r="I158" s="225">
        <f>Advancement!I92</f>
        <v>18.73532128530675</v>
      </c>
      <c r="J158" s="136">
        <f>Advancement!J92</f>
        <v>23.298621466807958</v>
      </c>
      <c r="K158" s="139">
        <f>Advancement!K92</f>
        <v>22.221086584599007</v>
      </c>
      <c r="L158" s="225">
        <f>Advancement!L92</f>
        <v>21.174984608027469</v>
      </c>
      <c r="M158" s="136">
        <f>Advancement!M92</f>
        <v>22.113684706938777</v>
      </c>
      <c r="N158" s="139">
        <f>Advancement!N92</f>
        <v>21.178752906129464</v>
      </c>
      <c r="O158" s="333">
        <f>Advancement!O92</f>
        <v>20.266492122534721</v>
      </c>
      <c r="P158" s="334">
        <f>Advancement!P92</f>
        <v>20.134444444444448</v>
      </c>
    </row>
    <row r="159" spans="1:23" x14ac:dyDescent="0.25">
      <c r="A159" s="227">
        <f>Advancement!A93</f>
        <v>27</v>
      </c>
      <c r="B159" s="218">
        <f>Advancement!B93</f>
        <v>50323</v>
      </c>
      <c r="C159" s="218">
        <f>Advancement!C93</f>
        <v>50395</v>
      </c>
      <c r="D159" s="182">
        <f>Advancement!D93</f>
        <v>72</v>
      </c>
      <c r="E159" s="228" t="str">
        <f>Advancement!E93</f>
        <v>GB-G-GA-2</v>
      </c>
      <c r="F159" s="134">
        <f>Advancement!F93</f>
        <v>1277</v>
      </c>
      <c r="G159" s="136">
        <f>Advancement!G93</f>
        <v>20.688247833530244</v>
      </c>
      <c r="H159" s="139">
        <f>Advancement!H93</f>
        <v>19.768293237750701</v>
      </c>
      <c r="I159" s="225">
        <f>Advancement!I93</f>
        <v>18.894879354866582</v>
      </c>
      <c r="J159" s="136">
        <f>Advancement!J93</f>
        <v>23.491011705544935</v>
      </c>
      <c r="K159" s="139">
        <f>Advancement!K93</f>
        <v>22.400004491237102</v>
      </c>
      <c r="L159" s="225">
        <f>Advancement!L93</f>
        <v>21.349476813560514</v>
      </c>
      <c r="M159" s="136">
        <f>Advancement!M93</f>
        <v>22.273839540097089</v>
      </c>
      <c r="N159" s="139">
        <f>Advancement!N93</f>
        <v>21.327692725918521</v>
      </c>
      <c r="O159" s="333">
        <f>Advancement!O93</f>
        <v>20.411747777125267</v>
      </c>
      <c r="P159" s="334">
        <f>Advancement!P93</f>
        <v>20.294444444444448</v>
      </c>
    </row>
    <row r="160" spans="1:23" x14ac:dyDescent="0.25">
      <c r="A160" s="227">
        <f>Advancement!A94</f>
        <v>28</v>
      </c>
      <c r="B160" s="218">
        <f>Advancement!B94</f>
        <v>50395</v>
      </c>
      <c r="C160" s="218">
        <f>Advancement!C94</f>
        <v>51494.5</v>
      </c>
      <c r="D160" s="182">
        <f>Advancement!D94</f>
        <v>1099.5</v>
      </c>
      <c r="E160" s="228" t="str">
        <f>Advancement!E94</f>
        <v>GB-G-GA-3</v>
      </c>
      <c r="F160" s="134">
        <f>Advancement!F94</f>
        <v>2376.5</v>
      </c>
      <c r="G160" s="136">
        <f>Advancement!G94</f>
        <v>23.226613208795996</v>
      </c>
      <c r="H160" s="139">
        <f>Advancement!H94</f>
        <v>22.048858256497677</v>
      </c>
      <c r="I160" s="225">
        <f>Advancement!I94</f>
        <v>20.929785934593944</v>
      </c>
      <c r="J160" s="136">
        <f>Advancement!J94</f>
        <v>26.503654155170686</v>
      </c>
      <c r="K160" s="139">
        <f>Advancement!K94</f>
        <v>25.106678263088952</v>
      </c>
      <c r="L160" s="225">
        <f>Advancement!L94</f>
        <v>23.764592463515982</v>
      </c>
      <c r="M160" s="136">
        <f>Advancement!M94</f>
        <v>24.885596868417437</v>
      </c>
      <c r="N160" s="139">
        <f>Advancement!N94</f>
        <v>23.674195896211671</v>
      </c>
      <c r="O160" s="333">
        <f>Advancement!O94</f>
        <v>22.505489767083596</v>
      </c>
      <c r="P160" s="334">
        <f>Advancement!P94</f>
        <v>22.737777777777779</v>
      </c>
    </row>
    <row r="161" spans="1:16" x14ac:dyDescent="0.25">
      <c r="A161" s="227" t="str">
        <f>Advancement!A95</f>
        <v>F4</v>
      </c>
      <c r="B161" s="218">
        <f>Advancement!B95</f>
        <v>51494.5</v>
      </c>
      <c r="C161" s="218">
        <f>Advancement!C95</f>
        <v>51505.5</v>
      </c>
      <c r="D161" s="182">
        <f>Advancement!D95</f>
        <v>11</v>
      </c>
      <c r="E161" s="228" t="str">
        <f>Advancement!E95</f>
        <v>F4</v>
      </c>
      <c r="F161" s="134">
        <f>Advancement!F95</f>
        <v>2387.5</v>
      </c>
      <c r="G161" s="136">
        <f>Advancement!G95</f>
        <v>23.272172620582996</v>
      </c>
      <c r="H161" s="139">
        <f>Advancement!H95</f>
        <v>22.093824004635824</v>
      </c>
      <c r="I161" s="225">
        <f>Advancement!I95</f>
        <v>20.976920159562958</v>
      </c>
      <c r="J161" s="136">
        <f>Advancement!J95</f>
        <v>26.545782549526812</v>
      </c>
      <c r="K161" s="139">
        <f>Advancement!K95</f>
        <v>25.148257701799409</v>
      </c>
      <c r="L161" s="225">
        <f>Advancement!L95</f>
        <v>23.808177074012022</v>
      </c>
      <c r="M161" s="136">
        <f>Advancement!M95</f>
        <v>24.918471627019038</v>
      </c>
      <c r="N161" s="139">
        <f>Advancement!N95</f>
        <v>23.706642279020411</v>
      </c>
      <c r="O161" s="333">
        <f>Advancement!O95</f>
        <v>22.539500879320389</v>
      </c>
      <c r="P161" s="334">
        <f>Advancement!P95</f>
        <v>22.762222222222224</v>
      </c>
    </row>
    <row r="162" spans="1:16" x14ac:dyDescent="0.25">
      <c r="A162" s="227">
        <f>Advancement!A96</f>
        <v>28</v>
      </c>
      <c r="B162" s="218">
        <f>Advancement!B96</f>
        <v>51505.5</v>
      </c>
      <c r="C162" s="218">
        <f>Advancement!C96</f>
        <v>51564</v>
      </c>
      <c r="D162" s="182">
        <f>Advancement!D96</f>
        <v>58.5</v>
      </c>
      <c r="E162" s="228" t="str">
        <f>Advancement!E96</f>
        <v>GB-G-GA-3</v>
      </c>
      <c r="F162" s="134">
        <f>Advancement!F96</f>
        <v>2446</v>
      </c>
      <c r="G162" s="136">
        <f>Advancement!G96</f>
        <v>23.407228895665348</v>
      </c>
      <c r="H162" s="139">
        <f>Advancement!H96</f>
        <v>22.215163753245825</v>
      </c>
      <c r="I162" s="225">
        <f>Advancement!I96</f>
        <v>21.0851894045962</v>
      </c>
      <c r="J162" s="136">
        <f>Advancement!J96</f>
        <v>26.706073211921634</v>
      </c>
      <c r="K162" s="139">
        <f>Advancement!K96</f>
        <v>25.292268993889753</v>
      </c>
      <c r="L162" s="225">
        <f>Advancement!L96</f>
        <v>23.936675723873226</v>
      </c>
      <c r="M162" s="136">
        <f>Advancement!M96</f>
        <v>25.057432794555865</v>
      </c>
      <c r="N162" s="139">
        <f>Advancement!N96</f>
        <v>23.831490333101492</v>
      </c>
      <c r="O162" s="333">
        <f>Advancement!O96</f>
        <v>22.650900521350913</v>
      </c>
      <c r="P162" s="334">
        <f>Advancement!P96</f>
        <v>22.892222222222223</v>
      </c>
    </row>
    <row r="163" spans="1:16" x14ac:dyDescent="0.25">
      <c r="A163" s="227">
        <f>Advancement!A97</f>
        <v>29</v>
      </c>
      <c r="B163" s="218">
        <f>Advancement!B97</f>
        <v>51564</v>
      </c>
      <c r="C163" s="218">
        <f>Advancement!C97</f>
        <v>51639</v>
      </c>
      <c r="D163" s="182">
        <f>Advancement!D97</f>
        <v>75</v>
      </c>
      <c r="E163" s="228" t="str">
        <f>Advancement!E97</f>
        <v>GB-G-GA-4</v>
      </c>
      <c r="F163" s="134">
        <f>Advancement!F97</f>
        <v>2521</v>
      </c>
      <c r="G163" s="136">
        <f>Advancement!G97</f>
        <v>23.561353803379998</v>
      </c>
      <c r="H163" s="139">
        <f>Advancement!H97</f>
        <v>22.360423109420186</v>
      </c>
      <c r="I163" s="225">
        <f>Advancement!I97</f>
        <v>21.225102104575999</v>
      </c>
      <c r="J163" s="136">
        <f>Advancement!J97</f>
        <v>26.88444260100983</v>
      </c>
      <c r="K163" s="139">
        <f>Advancement!K97</f>
        <v>25.4603782437466</v>
      </c>
      <c r="L163" s="225">
        <f>Advancement!L97</f>
        <v>24.098597266543546</v>
      </c>
      <c r="M163" s="136">
        <f>Advancement!M97</f>
        <v>25.210007928958557</v>
      </c>
      <c r="N163" s="139">
        <f>Advancement!N97</f>
        <v>23.97528906180915</v>
      </c>
      <c r="O163" s="333">
        <f>Advancement!O97</f>
        <v>22.789406356135153</v>
      </c>
      <c r="P163" s="334">
        <f>Advancement!P97</f>
        <v>23.058888888888891</v>
      </c>
    </row>
    <row r="164" spans="1:16" x14ac:dyDescent="0.25">
      <c r="A164" s="227" t="str">
        <f>Advancement!A98</f>
        <v>F6-F7</v>
      </c>
      <c r="B164" s="218">
        <f>Advancement!B98</f>
        <v>51639</v>
      </c>
      <c r="C164" s="218">
        <f>Advancement!C98</f>
        <v>51743</v>
      </c>
      <c r="D164" s="182">
        <f>Advancement!D98</f>
        <v>104</v>
      </c>
      <c r="E164" s="228" t="str">
        <f>Advancement!E98</f>
        <v>F6-F7</v>
      </c>
      <c r="F164" s="134">
        <f>Advancement!F98</f>
        <v>2625</v>
      </c>
      <c r="G164" s="136">
        <f>Advancement!G98</f>
        <v>23.980313905137649</v>
      </c>
      <c r="H164" s="139">
        <f>Advancement!H98</f>
        <v>22.773294817508475</v>
      </c>
      <c r="I164" s="225">
        <f>Advancement!I98</f>
        <v>21.656220637553709</v>
      </c>
      <c r="J164" s="136">
        <f>Advancement!J98</f>
        <v>27.271851386462277</v>
      </c>
      <c r="K164" s="139">
        <f>Advancement!K98</f>
        <v>25.842157144188736</v>
      </c>
      <c r="L164" s="225">
        <f>Advancement!L98</f>
        <v>24.497248848272317</v>
      </c>
      <c r="M164" s="136">
        <f>Advancement!M98</f>
        <v>25.512321143039944</v>
      </c>
      <c r="N164" s="139">
        <f>Advancement!N98</f>
        <v>24.273209013021219</v>
      </c>
      <c r="O164" s="333">
        <f>Advancement!O98</f>
        <v>23.100492850547777</v>
      </c>
      <c r="P164" s="334">
        <f>Advancement!P98</f>
        <v>23.290000000000003</v>
      </c>
    </row>
    <row r="165" spans="1:16" x14ac:dyDescent="0.25">
      <c r="A165" s="227">
        <f>Advancement!A99</f>
        <v>30</v>
      </c>
      <c r="B165" s="218">
        <f>Advancement!B99</f>
        <v>51743</v>
      </c>
      <c r="C165" s="218">
        <f>Advancement!C99</f>
        <v>51980.5</v>
      </c>
      <c r="D165" s="182">
        <f>Advancement!D99</f>
        <v>237.5</v>
      </c>
      <c r="E165" s="228" t="str">
        <f>Advancement!E99</f>
        <v>GB-G-GA-5</v>
      </c>
      <c r="F165" s="134">
        <f>Advancement!F99</f>
        <v>2862.5</v>
      </c>
      <c r="G165" s="136">
        <f>Advancement!G99</f>
        <v>24.492551918235865</v>
      </c>
      <c r="H165" s="139">
        <f>Advancement!H99</f>
        <v>23.244123084349543</v>
      </c>
      <c r="I165" s="225">
        <f>Advancement!I99</f>
        <v>22.094303823483397</v>
      </c>
      <c r="J165" s="136">
        <f>Advancement!J99</f>
        <v>27.876105973549773</v>
      </c>
      <c r="K165" s="139">
        <f>Advancement!K99</f>
        <v>26.397563288782344</v>
      </c>
      <c r="L165" s="225">
        <f>Advancement!L99</f>
        <v>25.014027704692648</v>
      </c>
      <c r="M165" s="136">
        <f>Advancement!M99</f>
        <v>26.034449821735166</v>
      </c>
      <c r="N165" s="139">
        <f>Advancement!N99</f>
        <v>24.753128375840845</v>
      </c>
      <c r="O165" s="333">
        <f>Advancement!O99</f>
        <v>23.547034866523077</v>
      </c>
      <c r="P165" s="334">
        <f>Advancement!P99</f>
        <v>23.817777777777781</v>
      </c>
    </row>
    <row r="166" spans="1:16" x14ac:dyDescent="0.25">
      <c r="A166" s="227" t="str">
        <f>Advancement!A100</f>
        <v>F9</v>
      </c>
      <c r="B166" s="218">
        <f>Advancement!B100</f>
        <v>51980.5</v>
      </c>
      <c r="C166" s="218">
        <f>Advancement!C100</f>
        <v>52003.5</v>
      </c>
      <c r="D166" s="182">
        <f>Advancement!D100</f>
        <v>23</v>
      </c>
      <c r="E166" s="228" t="str">
        <f>Advancement!E100</f>
        <v>F9</v>
      </c>
      <c r="F166" s="134">
        <f>Advancement!F100</f>
        <v>2885.5</v>
      </c>
      <c r="G166" s="136">
        <f>Advancement!G100</f>
        <v>24.587473542088318</v>
      </c>
      <c r="H166" s="139">
        <f>Advancement!H100</f>
        <v>23.337650227647135</v>
      </c>
      <c r="I166" s="225">
        <f>Advancement!I100</f>
        <v>22.192004942071268</v>
      </c>
      <c r="J166" s="136">
        <f>Advancement!J100</f>
        <v>27.963879178815809</v>
      </c>
      <c r="K166" s="139">
        <f>Advancement!K100</f>
        <v>26.484047029930366</v>
      </c>
      <c r="L166" s="225">
        <f>Advancement!L100</f>
        <v>25.104371084720199</v>
      </c>
      <c r="M166" s="136">
        <f>Advancement!M100</f>
        <v>26.102943363416756</v>
      </c>
      <c r="N166" s="139">
        <f>Advancement!N100</f>
        <v>24.820615688297394</v>
      </c>
      <c r="O166" s="333">
        <f>Advancement!O100</f>
        <v>23.61753403590874</v>
      </c>
      <c r="P166" s="334">
        <f>Advancement!P100</f>
        <v>23.868888888888893</v>
      </c>
    </row>
    <row r="167" spans="1:16" x14ac:dyDescent="0.25">
      <c r="A167" s="227">
        <f>Advancement!A101</f>
        <v>30</v>
      </c>
      <c r="B167" s="218">
        <f>Advancement!B101</f>
        <v>52003.5</v>
      </c>
      <c r="C167" s="218">
        <f>Advancement!C101</f>
        <v>52363.5</v>
      </c>
      <c r="D167" s="182">
        <f>Advancement!D101</f>
        <v>360</v>
      </c>
      <c r="E167" s="228" t="str">
        <f>Advancement!E101</f>
        <v>GB-G-GA-5</v>
      </c>
      <c r="F167" s="134">
        <f>Advancement!F101</f>
        <v>3245.5</v>
      </c>
      <c r="G167" s="136">
        <f>Advancement!G101</f>
        <v>25.363918530363506</v>
      </c>
      <c r="H167" s="139">
        <f>Advancement!H101</f>
        <v>24.051326758437803</v>
      </c>
      <c r="I167" s="225">
        <f>Advancement!I101</f>
        <v>22.856046823901529</v>
      </c>
      <c r="J167" s="136">
        <f>Advancement!J101</f>
        <v>28.879801921348431</v>
      </c>
      <c r="K167" s="139">
        <f>Advancement!K101</f>
        <v>27.325925817524887</v>
      </c>
      <c r="L167" s="225">
        <f>Advancement!L101</f>
        <v>25.887699035504699</v>
      </c>
      <c r="M167" s="136">
        <f>Advancement!M101</f>
        <v>26.894380518491616</v>
      </c>
      <c r="N167" s="139">
        <f>Advancement!N101</f>
        <v>25.548072406676617</v>
      </c>
      <c r="O167" s="333">
        <f>Advancement!O101</f>
        <v>24.294397723281829</v>
      </c>
      <c r="P167" s="334">
        <f>Advancement!P101</f>
        <v>24.668888888888894</v>
      </c>
    </row>
    <row r="168" spans="1:16" x14ac:dyDescent="0.25">
      <c r="A168" s="227" t="str">
        <f>Advancement!A102</f>
        <v>F11</v>
      </c>
      <c r="B168" s="218">
        <f>Advancement!B102</f>
        <v>52363.5</v>
      </c>
      <c r="C168" s="218">
        <f>Advancement!C102</f>
        <v>52392.5</v>
      </c>
      <c r="D168" s="182">
        <f>Advancement!D102</f>
        <v>29</v>
      </c>
      <c r="E168" s="228" t="str">
        <f>Advancement!E102</f>
        <v>F11</v>
      </c>
      <c r="F168" s="134">
        <f>Advancement!F102</f>
        <v>3274.5</v>
      </c>
      <c r="G168" s="136">
        <f>Advancement!G102</f>
        <v>25.483602316960081</v>
      </c>
      <c r="H168" s="139">
        <f>Advancement!H102</f>
        <v>24.169252286943465</v>
      </c>
      <c r="I168" s="225">
        <f>Advancement!I102</f>
        <v>22.979235190816674</v>
      </c>
      <c r="J168" s="136">
        <f>Advancement!J102</f>
        <v>28.990472484509954</v>
      </c>
      <c r="K168" s="139">
        <f>Advancement!K102</f>
        <v>27.434970534624565</v>
      </c>
      <c r="L168" s="225">
        <f>Advancement!L102</f>
        <v>26.001610253800308</v>
      </c>
      <c r="M168" s="136">
        <f>Advancement!M102</f>
        <v>26.980741940611878</v>
      </c>
      <c r="N168" s="139">
        <f>Advancement!N102</f>
        <v>25.633165104991395</v>
      </c>
      <c r="O168" s="333">
        <f>Advancement!O102</f>
        <v>24.383287980333314</v>
      </c>
      <c r="P168" s="334">
        <f>Advancement!P102</f>
        <v>24.733333333333338</v>
      </c>
    </row>
    <row r="169" spans="1:16" x14ac:dyDescent="0.25">
      <c r="A169" s="227">
        <f>Advancement!A103</f>
        <v>31</v>
      </c>
      <c r="B169" s="218">
        <f>Advancement!B103</f>
        <v>52392.5</v>
      </c>
      <c r="C169" s="218">
        <f>Advancement!C103</f>
        <v>52490.5</v>
      </c>
      <c r="D169" s="182">
        <f>Advancement!D103</f>
        <v>98</v>
      </c>
      <c r="E169" s="228" t="str">
        <f>Advancement!E103</f>
        <v>GB-G-GA-6</v>
      </c>
      <c r="F169" s="134">
        <f>Advancement!F103</f>
        <v>3372.5</v>
      </c>
      <c r="G169" s="136">
        <f>Advancement!G103</f>
        <v>25.70135609986988</v>
      </c>
      <c r="H169" s="139">
        <f>Advancement!H103</f>
        <v>24.371188029340669</v>
      </c>
      <c r="I169" s="225">
        <f>Advancement!I103</f>
        <v>23.169072643875037</v>
      </c>
      <c r="J169" s="136">
        <f>Advancement!J103</f>
        <v>29.240805120686037</v>
      </c>
      <c r="K169" s="139">
        <f>Advancement!K103</f>
        <v>27.667118541685394</v>
      </c>
      <c r="L169" s="225">
        <f>Advancement!L103</f>
        <v>26.219849907017903</v>
      </c>
      <c r="M169" s="136">
        <f>Advancement!M103</f>
        <v>27.194133811010015</v>
      </c>
      <c r="N169" s="139">
        <f>Advancement!N103</f>
        <v>25.831055792328964</v>
      </c>
      <c r="O169" s="333">
        <f>Advancement!O103</f>
        <v>24.569322723970917</v>
      </c>
      <c r="P169" s="334">
        <f>Advancement!P103</f>
        <v>24.951111111111114</v>
      </c>
    </row>
    <row r="170" spans="1:16" x14ac:dyDescent="0.25">
      <c r="A170" s="227" t="str">
        <f>Advancement!A104</f>
        <v>F12</v>
      </c>
      <c r="B170" s="218">
        <f>Advancement!B104</f>
        <v>52490.5</v>
      </c>
      <c r="C170" s="218">
        <f>Advancement!C104</f>
        <v>52511.5</v>
      </c>
      <c r="D170" s="182">
        <f>Advancement!D104</f>
        <v>21</v>
      </c>
      <c r="E170" s="228" t="str">
        <f>Advancement!E104</f>
        <v>F12</v>
      </c>
      <c r="F170" s="134">
        <f>Advancement!F104</f>
        <v>3393.5</v>
      </c>
      <c r="G170" s="136">
        <f>Advancement!G104</f>
        <v>25.787335132883225</v>
      </c>
      <c r="H170" s="139">
        <f>Advancement!H104</f>
        <v>24.456202278056924</v>
      </c>
      <c r="I170" s="225">
        <f>Advancement!I104</f>
        <v>23.258441784514961</v>
      </c>
      <c r="J170" s="136">
        <f>Advancement!J104</f>
        <v>29.320309189484796</v>
      </c>
      <c r="K170" s="139">
        <f>Advancement!K104</f>
        <v>27.745730482782278</v>
      </c>
      <c r="L170" s="225">
        <f>Advancement!L104</f>
        <v>26.302488779041735</v>
      </c>
      <c r="M170" s="136">
        <f>Advancement!M104</f>
        <v>27.256174558338525</v>
      </c>
      <c r="N170" s="139">
        <f>Advancement!N104</f>
        <v>25.89240037064156</v>
      </c>
      <c r="O170" s="333">
        <f>Advancement!O104</f>
        <v>24.633809705029975</v>
      </c>
      <c r="P170" s="334">
        <f>Advancement!P104</f>
        <v>24.997777777777781</v>
      </c>
    </row>
    <row r="171" spans="1:16" x14ac:dyDescent="0.25">
      <c r="A171" s="227">
        <f>Advancement!A105</f>
        <v>31</v>
      </c>
      <c r="B171" s="218">
        <f>Advancement!B105</f>
        <v>52511.5</v>
      </c>
      <c r="C171" s="218">
        <f>Advancement!C105</f>
        <v>52871.5</v>
      </c>
      <c r="D171" s="182">
        <f>Advancement!D105</f>
        <v>360</v>
      </c>
      <c r="E171" s="228" t="str">
        <f>Advancement!E105</f>
        <v>GB-G-GA-6</v>
      </c>
      <c r="F171" s="134">
        <f>Advancement!F105</f>
        <v>3504.5</v>
      </c>
      <c r="G171" s="136">
        <f>Advancement!G105</f>
        <v>26.587246988470241</v>
      </c>
      <c r="H171" s="319">
        <f>Advancement!H105</f>
        <v>25.198007046046651</v>
      </c>
      <c r="I171" s="225">
        <f>Advancement!I105</f>
        <v>23.955803856974256</v>
      </c>
      <c r="J171" s="136">
        <f>Advancement!J105</f>
        <v>30.239898465233672</v>
      </c>
      <c r="K171" s="319">
        <f>Advancement!K105</f>
        <v>28.598519080148591</v>
      </c>
      <c r="L171" s="225">
        <f>Advancement!L105</f>
        <v>27.10418546433085</v>
      </c>
      <c r="M171" s="136">
        <f>Advancement!M105</f>
        <v>28.040063061841884</v>
      </c>
      <c r="N171" s="319">
        <f>Advancement!N105</f>
        <v>26.619345752697932</v>
      </c>
      <c r="O171" s="333">
        <f>Advancement!O105</f>
        <v>25.317202640841579</v>
      </c>
      <c r="P171" s="334">
        <f>Advancement!P105</f>
        <v>25.797777777777782</v>
      </c>
    </row>
    <row r="172" spans="1:16" ht="12" thickBot="1" x14ac:dyDescent="0.3">
      <c r="A172" s="147" t="str">
        <f>Advancement!A106</f>
        <v>Smontaggio</v>
      </c>
      <c r="B172" s="148">
        <f>Advancement!B106</f>
        <v>0</v>
      </c>
      <c r="C172" s="148">
        <f>Advancement!C106</f>
        <v>52871.5</v>
      </c>
      <c r="D172" s="229">
        <f>Advancement!D106</f>
        <v>0</v>
      </c>
      <c r="E172" s="151">
        <f>Advancement!E106</f>
        <v>0</v>
      </c>
      <c r="F172" s="154">
        <f>Advancement!F106</f>
        <v>0</v>
      </c>
      <c r="G172" s="157">
        <f>Advancement!G106</f>
        <v>28.587246988470241</v>
      </c>
      <c r="H172" s="324">
        <f>Advancement!H106</f>
        <v>27.198007046046651</v>
      </c>
      <c r="I172" s="158">
        <f>Advancement!I106</f>
        <v>25.955803856974256</v>
      </c>
      <c r="J172" s="157">
        <f>Advancement!J106</f>
        <v>32.439898465233675</v>
      </c>
      <c r="K172" s="325">
        <f>Advancement!K106</f>
        <v>30.798519080148591</v>
      </c>
      <c r="L172" s="326">
        <f>Advancement!L106</f>
        <v>29.30418546433085</v>
      </c>
      <c r="M172" s="157">
        <f>Advancement!M106</f>
        <v>30.540063061841884</v>
      </c>
      <c r="N172" s="327">
        <f>Advancement!N106</f>
        <v>29.119345752697932</v>
      </c>
      <c r="O172" s="161">
        <f>Advancement!O106</f>
        <v>27.817202640841579</v>
      </c>
      <c r="P172" s="339">
        <f>Advancement!P106</f>
        <v>28.797777777777782</v>
      </c>
    </row>
    <row r="174" spans="1:16" ht="12" thickBot="1" x14ac:dyDescent="0.3"/>
    <row r="175" spans="1:16" ht="12" thickBot="1" x14ac:dyDescent="0.3">
      <c r="A175" s="95" t="s">
        <v>135</v>
      </c>
      <c r="G175" s="533" t="str">
        <f>Advancement!G136</f>
        <v>Open TBM</v>
      </c>
      <c r="H175" s="534"/>
      <c r="I175" s="535"/>
      <c r="J175" s="533" t="str">
        <f>Advancement!J136</f>
        <v>S TBM</v>
      </c>
      <c r="K175" s="534"/>
      <c r="L175" s="535"/>
      <c r="M175" s="536" t="str">
        <f>Advancement!M136</f>
        <v>DS TBM</v>
      </c>
      <c r="N175" s="537"/>
      <c r="O175" s="538"/>
      <c r="P175" s="213" t="str">
        <f>Advancement!P136</f>
        <v>Progetto</v>
      </c>
    </row>
    <row r="176" spans="1:16" x14ac:dyDescent="0.25">
      <c r="A176" s="109" t="s">
        <v>118</v>
      </c>
      <c r="B176" s="110">
        <v>0</v>
      </c>
      <c r="C176" s="110">
        <v>52622</v>
      </c>
      <c r="D176" s="341">
        <v>0</v>
      </c>
      <c r="E176" s="114"/>
      <c r="F176" s="342"/>
      <c r="G176" s="120">
        <v>16.260162957477874</v>
      </c>
      <c r="H176" s="121">
        <v>15.561644103563625</v>
      </c>
      <c r="I176" s="122">
        <v>14.927685825943872</v>
      </c>
      <c r="J176" s="284">
        <v>17.795539564615382</v>
      </c>
      <c r="K176" s="121">
        <v>16.969044834661755</v>
      </c>
      <c r="L176" s="219">
        <v>16.205593608626533</v>
      </c>
      <c r="M176" s="284">
        <v>16.755847798157287</v>
      </c>
      <c r="N176" s="121">
        <v>16.039917654097032</v>
      </c>
      <c r="O176" s="332">
        <v>15.374256419022387</v>
      </c>
      <c r="P176" s="343">
        <v>15.864444444444446</v>
      </c>
    </row>
    <row r="177" spans="1:22" x14ac:dyDescent="0.25">
      <c r="A177" s="221" t="s">
        <v>132</v>
      </c>
      <c r="B177" s="126">
        <f>C176</f>
        <v>52622</v>
      </c>
      <c r="C177" s="126">
        <f>B177+1392.3</f>
        <v>54014.3</v>
      </c>
      <c r="D177" s="209">
        <f>C177-B177</f>
        <v>1392.3000000000029</v>
      </c>
      <c r="E177" s="222"/>
      <c r="F177" s="340"/>
      <c r="G177" s="136">
        <f>G176+$D$177/165</f>
        <v>24.698344775659709</v>
      </c>
      <c r="H177" s="137">
        <f t="shared" ref="H177:O177" si="82">H176+$D$177/165</f>
        <v>23.999825921745462</v>
      </c>
      <c r="I177" s="138">
        <f t="shared" si="82"/>
        <v>23.365867644125707</v>
      </c>
      <c r="J177" s="285">
        <f t="shared" si="82"/>
        <v>26.233721382797217</v>
      </c>
      <c r="K177" s="137">
        <f t="shared" si="82"/>
        <v>25.40722665284359</v>
      </c>
      <c r="L177" s="225">
        <f t="shared" si="82"/>
        <v>24.643775426808368</v>
      </c>
      <c r="M177" s="285">
        <f t="shared" si="82"/>
        <v>25.194029616339122</v>
      </c>
      <c r="N177" s="137">
        <f t="shared" si="82"/>
        <v>24.478099472278867</v>
      </c>
      <c r="O177" s="333">
        <f t="shared" si="82"/>
        <v>23.812438237204223</v>
      </c>
      <c r="P177" s="334">
        <f>P176+$D$177/165</f>
        <v>24.302626262626283</v>
      </c>
      <c r="R177" s="345">
        <v>165</v>
      </c>
      <c r="S177" s="273" t="s">
        <v>134</v>
      </c>
    </row>
    <row r="178" spans="1:22" x14ac:dyDescent="0.25">
      <c r="A178" s="221" t="s">
        <v>133</v>
      </c>
      <c r="B178" s="126"/>
      <c r="C178" s="126">
        <f>C177</f>
        <v>54014.3</v>
      </c>
      <c r="D178" s="209">
        <v>0</v>
      </c>
      <c r="E178" s="222"/>
      <c r="F178" s="134"/>
      <c r="G178" s="136">
        <f>G177+3</f>
        <v>27.698344775659709</v>
      </c>
      <c r="H178" s="137">
        <f>H177+3</f>
        <v>26.999825921745462</v>
      </c>
      <c r="I178" s="138">
        <f>I177+3</f>
        <v>26.365867644125707</v>
      </c>
      <c r="J178" s="139">
        <f t="shared" ref="J178:O178" si="83">J177+3</f>
        <v>29.233721382797217</v>
      </c>
      <c r="K178" s="137">
        <f t="shared" si="83"/>
        <v>28.40722665284359</v>
      </c>
      <c r="L178" s="138">
        <f t="shared" si="83"/>
        <v>27.643775426808368</v>
      </c>
      <c r="M178" s="139">
        <f t="shared" si="83"/>
        <v>28.194029616339122</v>
      </c>
      <c r="N178" s="137">
        <f t="shared" si="83"/>
        <v>27.478099472278867</v>
      </c>
      <c r="O178" s="138">
        <f t="shared" si="83"/>
        <v>26.812438237204223</v>
      </c>
      <c r="P178" s="334">
        <f>P177+3</f>
        <v>27.302626262626283</v>
      </c>
      <c r="R178" s="345">
        <v>3</v>
      </c>
      <c r="S178" s="273" t="s">
        <v>137</v>
      </c>
    </row>
    <row r="179" spans="1:22" x14ac:dyDescent="0.25">
      <c r="A179" s="221" t="s">
        <v>199</v>
      </c>
      <c r="B179" s="126">
        <f>C178</f>
        <v>54014.3</v>
      </c>
      <c r="C179" s="126">
        <f>B177</f>
        <v>52622</v>
      </c>
      <c r="D179" s="209">
        <f>B179-C179</f>
        <v>1392.3000000000029</v>
      </c>
      <c r="E179" s="222"/>
      <c r="F179" s="134"/>
      <c r="G179" s="136">
        <f>G178+$D$179/312</f>
        <v>32.160844775659719</v>
      </c>
      <c r="H179" s="137">
        <f>H178+$D$179/312</f>
        <v>31.462325921745471</v>
      </c>
      <c r="I179" s="138">
        <f>I178+$D$179/312</f>
        <v>30.828367644125716</v>
      </c>
      <c r="J179" s="139">
        <f t="shared" ref="J179:P179" si="84">J178+$D$179/312</f>
        <v>33.696221382797226</v>
      </c>
      <c r="K179" s="137">
        <f t="shared" si="84"/>
        <v>32.869726652843596</v>
      </c>
      <c r="L179" s="138">
        <f t="shared" si="84"/>
        <v>32.106275426808381</v>
      </c>
      <c r="M179" s="139">
        <f t="shared" si="84"/>
        <v>32.656529616339128</v>
      </c>
      <c r="N179" s="137">
        <f t="shared" si="84"/>
        <v>31.940599472278876</v>
      </c>
      <c r="O179" s="138">
        <f t="shared" si="84"/>
        <v>31.274938237204232</v>
      </c>
      <c r="P179" s="225">
        <f t="shared" si="84"/>
        <v>31.765126262626293</v>
      </c>
      <c r="R179" s="345">
        <v>312</v>
      </c>
      <c r="S179" s="273" t="s">
        <v>134</v>
      </c>
    </row>
    <row r="180" spans="1:22" ht="12" thickBot="1" x14ac:dyDescent="0.3">
      <c r="A180" s="291" t="s">
        <v>200</v>
      </c>
      <c r="B180" s="148">
        <f>C179</f>
        <v>52622</v>
      </c>
      <c r="C180" s="148">
        <f>B180-3504</f>
        <v>49118</v>
      </c>
      <c r="D180" s="344">
        <f>B180-C180</f>
        <v>3504</v>
      </c>
      <c r="E180" s="287"/>
      <c r="F180" s="155"/>
      <c r="G180" s="157">
        <f>G179+$D$180/312</f>
        <v>43.391614006428952</v>
      </c>
      <c r="H180" s="324">
        <f>H179+$D$180/(312)</f>
        <v>42.693095152514701</v>
      </c>
      <c r="I180" s="159">
        <f>I179+$D$180/312</f>
        <v>42.059136874894946</v>
      </c>
      <c r="J180" s="160">
        <f t="shared" ref="J180:O180" si="85">J179+$D$180/(30*(340/12))</f>
        <v>37.818574323973699</v>
      </c>
      <c r="K180" s="325">
        <f t="shared" si="85"/>
        <v>36.992079594020069</v>
      </c>
      <c r="L180" s="159">
        <f t="shared" si="85"/>
        <v>36.228628367984854</v>
      </c>
      <c r="M180" s="160">
        <f t="shared" si="85"/>
        <v>36.778882557515601</v>
      </c>
      <c r="N180" s="327">
        <f t="shared" si="85"/>
        <v>36.062952413455349</v>
      </c>
      <c r="O180" s="159">
        <f t="shared" si="85"/>
        <v>35.397291178380705</v>
      </c>
      <c r="P180" s="339">
        <f>P179+$D$180/312</f>
        <v>42.995895493395523</v>
      </c>
      <c r="R180" s="345">
        <f>30*(340/12)</f>
        <v>850</v>
      </c>
      <c r="S180" s="273" t="s">
        <v>134</v>
      </c>
    </row>
    <row r="182" spans="1:22" ht="12" thickBot="1" x14ac:dyDescent="0.3">
      <c r="A182" s="95" t="s">
        <v>136</v>
      </c>
    </row>
    <row r="183" spans="1:22" x14ac:dyDescent="0.25">
      <c r="A183" s="109" t="s">
        <v>118</v>
      </c>
      <c r="B183" s="110">
        <v>0</v>
      </c>
      <c r="C183" s="110">
        <f>C172</f>
        <v>52871.5</v>
      </c>
      <c r="D183" s="341">
        <v>0</v>
      </c>
      <c r="E183" s="114"/>
      <c r="F183" s="342"/>
      <c r="G183" s="120">
        <f t="shared" ref="G183:P183" si="86">G172</f>
        <v>28.587246988470241</v>
      </c>
      <c r="H183" s="121">
        <f t="shared" si="86"/>
        <v>27.198007046046651</v>
      </c>
      <c r="I183" s="122">
        <f t="shared" si="86"/>
        <v>25.955803856974256</v>
      </c>
      <c r="J183" s="120">
        <f t="shared" si="86"/>
        <v>32.439898465233675</v>
      </c>
      <c r="K183" s="121">
        <f t="shared" si="86"/>
        <v>30.798519080148591</v>
      </c>
      <c r="L183" s="122">
        <f t="shared" si="86"/>
        <v>29.30418546433085</v>
      </c>
      <c r="M183" s="120">
        <f t="shared" si="86"/>
        <v>30.540063061841884</v>
      </c>
      <c r="N183" s="121">
        <f t="shared" si="86"/>
        <v>29.119345752697932</v>
      </c>
      <c r="O183" s="122">
        <f t="shared" si="86"/>
        <v>27.817202640841579</v>
      </c>
      <c r="P183" s="220">
        <f t="shared" si="86"/>
        <v>28.797777777777782</v>
      </c>
    </row>
    <row r="184" spans="1:22" x14ac:dyDescent="0.25">
      <c r="A184" s="221" t="s">
        <v>138</v>
      </c>
      <c r="B184" s="126">
        <f>C183</f>
        <v>52871.5</v>
      </c>
      <c r="C184" s="126">
        <f>B184+1157.4</f>
        <v>54028.9</v>
      </c>
      <c r="D184" s="209">
        <f>C184-B184</f>
        <v>1157.4000000000015</v>
      </c>
      <c r="E184" s="222"/>
      <c r="F184" s="340"/>
      <c r="G184" s="136">
        <f t="shared" ref="G184:P184" si="87">G183+$D$177/165</f>
        <v>37.025428806652073</v>
      </c>
      <c r="H184" s="137">
        <f t="shared" si="87"/>
        <v>35.636188864228487</v>
      </c>
      <c r="I184" s="138">
        <f t="shared" si="87"/>
        <v>34.393985675156088</v>
      </c>
      <c r="J184" s="285">
        <f t="shared" si="87"/>
        <v>40.878080283415514</v>
      </c>
      <c r="K184" s="137">
        <f t="shared" si="87"/>
        <v>39.236700898330426</v>
      </c>
      <c r="L184" s="225">
        <f t="shared" si="87"/>
        <v>37.742367282512689</v>
      </c>
      <c r="M184" s="285">
        <f t="shared" si="87"/>
        <v>38.978244880023723</v>
      </c>
      <c r="N184" s="137">
        <f t="shared" si="87"/>
        <v>37.55752757087977</v>
      </c>
      <c r="O184" s="333">
        <f t="shared" si="87"/>
        <v>36.255384459023418</v>
      </c>
      <c r="P184" s="334">
        <f t="shared" si="87"/>
        <v>37.235959595959613</v>
      </c>
      <c r="R184" s="345">
        <v>165</v>
      </c>
      <c r="S184" s="273" t="s">
        <v>134</v>
      </c>
    </row>
    <row r="185" spans="1:22" x14ac:dyDescent="0.25">
      <c r="A185" s="221" t="s">
        <v>133</v>
      </c>
      <c r="B185" s="126"/>
      <c r="C185" s="126">
        <f>C184</f>
        <v>54028.9</v>
      </c>
      <c r="D185" s="209">
        <v>0</v>
      </c>
      <c r="E185" s="222"/>
      <c r="F185" s="134"/>
      <c r="G185" s="136">
        <f t="shared" ref="G185:P185" si="88">MAX(G184+3,G180)</f>
        <v>43.391614006428952</v>
      </c>
      <c r="H185" s="137">
        <f t="shared" si="88"/>
        <v>42.693095152514701</v>
      </c>
      <c r="I185" s="138">
        <f t="shared" si="88"/>
        <v>42.059136874894946</v>
      </c>
      <c r="J185" s="285">
        <f t="shared" si="88"/>
        <v>43.878080283415514</v>
      </c>
      <c r="K185" s="137">
        <f t="shared" si="88"/>
        <v>42.236700898330426</v>
      </c>
      <c r="L185" s="225">
        <f t="shared" si="88"/>
        <v>40.742367282512689</v>
      </c>
      <c r="M185" s="285">
        <f t="shared" si="88"/>
        <v>41.978244880023723</v>
      </c>
      <c r="N185" s="137">
        <f t="shared" si="88"/>
        <v>40.55752757087977</v>
      </c>
      <c r="O185" s="333">
        <f t="shared" si="88"/>
        <v>39.255384459023418</v>
      </c>
      <c r="P185" s="226">
        <f t="shared" si="88"/>
        <v>42.995895493395523</v>
      </c>
      <c r="R185" s="345">
        <v>3</v>
      </c>
      <c r="S185" s="273" t="s">
        <v>137</v>
      </c>
      <c r="V185" s="273" t="s">
        <v>139</v>
      </c>
    </row>
    <row r="186" spans="1:22" x14ac:dyDescent="0.25">
      <c r="A186" s="221" t="s">
        <v>201</v>
      </c>
      <c r="B186" s="126">
        <f>C185</f>
        <v>54028.9</v>
      </c>
      <c r="C186" s="126">
        <f>B184</f>
        <v>52871.5</v>
      </c>
      <c r="D186" s="209">
        <f>B186-C186</f>
        <v>1157.4000000000015</v>
      </c>
      <c r="E186" s="222"/>
      <c r="F186" s="134"/>
      <c r="G186" s="136">
        <f>G185+$D$179/312</f>
        <v>47.854114006428958</v>
      </c>
      <c r="H186" s="137">
        <f>H185+$D$179/312</f>
        <v>47.155595152514707</v>
      </c>
      <c r="I186" s="138">
        <f>I185+$D$179/312</f>
        <v>46.521636874894952</v>
      </c>
      <c r="J186" s="139">
        <f t="shared" ref="J186" si="89">J185+$D$179/312</f>
        <v>48.34058028341552</v>
      </c>
      <c r="K186" s="137">
        <f t="shared" ref="K186" si="90">K185+$D$179/312</f>
        <v>46.699200898330432</v>
      </c>
      <c r="L186" s="138">
        <f t="shared" ref="L186" si="91">L185+$D$179/312</f>
        <v>45.204867282512694</v>
      </c>
      <c r="M186" s="139">
        <f t="shared" ref="M186" si="92">M185+$D$179/312</f>
        <v>46.440744880023729</v>
      </c>
      <c r="N186" s="137">
        <f t="shared" ref="N186" si="93">N185+$D$179/312</f>
        <v>45.020027570879776</v>
      </c>
      <c r="O186" s="138">
        <f t="shared" ref="O186" si="94">O185+$D$179/312</f>
        <v>43.717884459023423</v>
      </c>
      <c r="P186" s="225">
        <f t="shared" ref="P186" si="95">P185+$D$179/312</f>
        <v>47.458395493395528</v>
      </c>
      <c r="R186" s="345">
        <v>312</v>
      </c>
      <c r="S186" s="273" t="s">
        <v>134</v>
      </c>
      <c r="T186" s="345"/>
    </row>
    <row r="187" spans="1:22" ht="12" thickBot="1" x14ac:dyDescent="0.3">
      <c r="A187" s="291" t="s">
        <v>202</v>
      </c>
      <c r="B187" s="148">
        <f>C186</f>
        <v>52871.5</v>
      </c>
      <c r="C187" s="148">
        <f>B187-3504</f>
        <v>49367.5</v>
      </c>
      <c r="D187" s="344">
        <f>B187-C187</f>
        <v>3504</v>
      </c>
      <c r="E187" s="287"/>
      <c r="F187" s="155"/>
      <c r="G187" s="157">
        <f>G186+$D$180/312</f>
        <v>59.084883237198184</v>
      </c>
      <c r="H187" s="324">
        <f>H186+$D$180/312</f>
        <v>58.386364383283933</v>
      </c>
      <c r="I187" s="159">
        <f>I186+$D$180/312</f>
        <v>57.752406105664178</v>
      </c>
      <c r="J187" s="160">
        <f t="shared" ref="J187" si="96">J186+$D$180/(30*(340/12))</f>
        <v>52.462933224591993</v>
      </c>
      <c r="K187" s="325">
        <f t="shared" ref="K187" si="97">K186+$D$180/(30*(340/12))</f>
        <v>50.821553839506905</v>
      </c>
      <c r="L187" s="159">
        <f t="shared" ref="L187" si="98">L186+$D$180/(30*(340/12))</f>
        <v>49.327220223689167</v>
      </c>
      <c r="M187" s="160">
        <f t="shared" ref="M187" si="99">M186+$D$180/(30*(340/12))</f>
        <v>50.563097821200202</v>
      </c>
      <c r="N187" s="327">
        <f t="shared" ref="N187" si="100">N186+$D$180/(30*(340/12))</f>
        <v>49.142380512056249</v>
      </c>
      <c r="O187" s="159">
        <f t="shared" ref="O187" si="101">O186+$D$180/(30*(340/12))</f>
        <v>47.840237400199896</v>
      </c>
      <c r="P187" s="339">
        <f>P186+$D$180/312</f>
        <v>58.689164724164755</v>
      </c>
      <c r="R187" s="345">
        <f>30*(340/12)</f>
        <v>850</v>
      </c>
      <c r="S187" s="273" t="s">
        <v>134</v>
      </c>
    </row>
    <row r="198" spans="1:13" ht="12" thickBot="1" x14ac:dyDescent="0.3"/>
    <row r="199" spans="1:13" ht="12" thickBot="1" x14ac:dyDescent="0.3">
      <c r="A199" s="542" t="s">
        <v>3</v>
      </c>
      <c r="B199" s="545" t="s">
        <v>165</v>
      </c>
      <c r="C199" s="548" t="s">
        <v>4</v>
      </c>
      <c r="D199" s="598" t="s">
        <v>166</v>
      </c>
      <c r="E199" s="601" t="s">
        <v>162</v>
      </c>
      <c r="K199" s="95"/>
      <c r="L199" s="95"/>
      <c r="M199" s="95"/>
    </row>
    <row r="200" spans="1:13" ht="12" thickBot="1" x14ac:dyDescent="0.3">
      <c r="A200" s="543">
        <v>0</v>
      </c>
      <c r="B200" s="546">
        <v>0</v>
      </c>
      <c r="C200" s="549">
        <v>0</v>
      </c>
      <c r="D200" s="599">
        <v>0</v>
      </c>
      <c r="E200" s="602">
        <v>0</v>
      </c>
      <c r="F200" s="349" t="s">
        <v>54</v>
      </c>
      <c r="G200" s="349" t="s">
        <v>124</v>
      </c>
      <c r="H200" s="213" t="s">
        <v>125</v>
      </c>
      <c r="K200" s="95"/>
      <c r="L200" s="95"/>
      <c r="M200" s="95"/>
    </row>
    <row r="201" spans="1:13" ht="11.25" customHeight="1" x14ac:dyDescent="0.25">
      <c r="A201" s="543">
        <v>0</v>
      </c>
      <c r="B201" s="546">
        <v>0</v>
      </c>
      <c r="C201" s="549">
        <v>0</v>
      </c>
      <c r="D201" s="599">
        <v>0</v>
      </c>
      <c r="E201" s="602">
        <v>0</v>
      </c>
      <c r="F201" s="351" t="s">
        <v>63</v>
      </c>
      <c r="G201" s="351" t="s">
        <v>63</v>
      </c>
      <c r="H201" s="337" t="s">
        <v>63</v>
      </c>
      <c r="K201" s="95"/>
      <c r="L201" s="95"/>
      <c r="M201" s="95"/>
    </row>
    <row r="202" spans="1:13" ht="12" thickBot="1" x14ac:dyDescent="0.3">
      <c r="A202" s="544">
        <v>0</v>
      </c>
      <c r="B202" s="547">
        <v>0</v>
      </c>
      <c r="C202" s="550">
        <v>0</v>
      </c>
      <c r="D202" s="600">
        <v>0</v>
      </c>
      <c r="E202" s="603">
        <v>0</v>
      </c>
      <c r="F202" s="350" t="s">
        <v>137</v>
      </c>
      <c r="G202" s="350" t="s">
        <v>137</v>
      </c>
      <c r="H202" s="367" t="s">
        <v>137</v>
      </c>
      <c r="K202" s="95"/>
      <c r="L202" s="95"/>
      <c r="M202" s="95"/>
    </row>
    <row r="203" spans="1:13" x14ac:dyDescent="0.25">
      <c r="A203" s="366" t="s">
        <v>163</v>
      </c>
      <c r="B203" s="110">
        <f>C139</f>
        <v>49118</v>
      </c>
      <c r="C203" s="322"/>
      <c r="D203" s="323"/>
      <c r="E203" s="286"/>
      <c r="F203" s="120">
        <v>0</v>
      </c>
      <c r="G203" s="284">
        <v>0</v>
      </c>
      <c r="H203" s="220">
        <v>0</v>
      </c>
      <c r="K203" s="95"/>
      <c r="L203" s="95"/>
      <c r="M203" s="95"/>
    </row>
    <row r="204" spans="1:13" ht="12" thickBot="1" x14ac:dyDescent="0.3">
      <c r="A204" s="221" t="s">
        <v>164</v>
      </c>
      <c r="B204" s="218">
        <f>C154</f>
        <v>52622.5</v>
      </c>
      <c r="C204" s="137">
        <f>B204-B203</f>
        <v>3504.5</v>
      </c>
      <c r="D204" s="223"/>
      <c r="E204" s="224"/>
      <c r="F204" s="157">
        <f>C204/24.93/((340-48-15-12)/12)/0.83</f>
        <v>7.6693942858143291</v>
      </c>
      <c r="G204" s="157">
        <f>C204/23/((340-48-15-12)/12)/0.83</f>
        <v>8.3129565019717919</v>
      </c>
      <c r="H204" s="157">
        <f>C204/21.57/((340-48-15-12)/12)/0.83</f>
        <v>8.8640704471650995</v>
      </c>
      <c r="K204" s="95"/>
      <c r="L204" s="95"/>
      <c r="M204" s="95"/>
    </row>
    <row r="205" spans="1:13" x14ac:dyDescent="0.25">
      <c r="K205" s="95"/>
      <c r="L205" s="95"/>
      <c r="M205" s="95"/>
    </row>
    <row r="206" spans="1:13" x14ac:dyDescent="0.25">
      <c r="F206" s="167">
        <f>$C$204/F204</f>
        <v>456.94612499999999</v>
      </c>
      <c r="G206" s="167">
        <f t="shared" ref="G206:H206" si="102">$C$204/G204</f>
        <v>421.57083333333333</v>
      </c>
      <c r="H206" s="167">
        <f t="shared" si="102"/>
        <v>395.36012500000004</v>
      </c>
    </row>
  </sheetData>
  <mergeCells count="127">
    <mergeCell ref="A199:A202"/>
    <mergeCell ref="B199:B202"/>
    <mergeCell ref="C199:C202"/>
    <mergeCell ref="D199:D202"/>
    <mergeCell ref="E199:E202"/>
    <mergeCell ref="A22:I22"/>
    <mergeCell ref="F69:F72"/>
    <mergeCell ref="G70:I70"/>
    <mergeCell ref="G71:I71"/>
    <mergeCell ref="F135:F138"/>
    <mergeCell ref="G136:I136"/>
    <mergeCell ref="C69:C72"/>
    <mergeCell ref="D69:D72"/>
    <mergeCell ref="E69:E72"/>
    <mergeCell ref="C23:C26"/>
    <mergeCell ref="D23:D26"/>
    <mergeCell ref="E23:E26"/>
    <mergeCell ref="G175:I175"/>
    <mergeCell ref="J48:L48"/>
    <mergeCell ref="V23:X23"/>
    <mergeCell ref="W54:X54"/>
    <mergeCell ref="W55:X55"/>
    <mergeCell ref="W56:X56"/>
    <mergeCell ref="W57:X57"/>
    <mergeCell ref="Y23:AA23"/>
    <mergeCell ref="AB23:AD23"/>
    <mergeCell ref="V24:X24"/>
    <mergeCell ref="Y24:AA24"/>
    <mergeCell ref="AB24:AD24"/>
    <mergeCell ref="S24:U24"/>
    <mergeCell ref="S26:U26"/>
    <mergeCell ref="V26:X26"/>
    <mergeCell ref="M48:O48"/>
    <mergeCell ref="S48:U48"/>
    <mergeCell ref="M45:O45"/>
    <mergeCell ref="P45:R45"/>
    <mergeCell ref="S45:U45"/>
    <mergeCell ref="M46:O46"/>
    <mergeCell ref="P46:R46"/>
    <mergeCell ref="S46:U46"/>
    <mergeCell ref="AB26:AD26"/>
    <mergeCell ref="M23:O23"/>
    <mergeCell ref="M24:O24"/>
    <mergeCell ref="M26:O26"/>
    <mergeCell ref="P23:R23"/>
    <mergeCell ref="P24:R24"/>
    <mergeCell ref="P26:R26"/>
    <mergeCell ref="AE2:AG2"/>
    <mergeCell ref="AE3:AG3"/>
    <mergeCell ref="AE5:AG5"/>
    <mergeCell ref="V5:X5"/>
    <mergeCell ref="V2:X2"/>
    <mergeCell ref="Y2:AA2"/>
    <mergeCell ref="AB2:AD2"/>
    <mergeCell ref="AB3:AD3"/>
    <mergeCell ref="AB5:AD5"/>
    <mergeCell ref="A1:O1"/>
    <mergeCell ref="S3:U3"/>
    <mergeCell ref="S23:U23"/>
    <mergeCell ref="F2:I2"/>
    <mergeCell ref="E2:E5"/>
    <mergeCell ref="D2:D5"/>
    <mergeCell ref="C2:C5"/>
    <mergeCell ref="B2:B5"/>
    <mergeCell ref="A2:A5"/>
    <mergeCell ref="J2:L2"/>
    <mergeCell ref="F3:I3"/>
    <mergeCell ref="J3:L3"/>
    <mergeCell ref="F23:I23"/>
    <mergeCell ref="M5:O5"/>
    <mergeCell ref="J5:L5"/>
    <mergeCell ref="A23:A26"/>
    <mergeCell ref="P2:R2"/>
    <mergeCell ref="P3:R3"/>
    <mergeCell ref="P5:R5"/>
    <mergeCell ref="S5:U5"/>
    <mergeCell ref="S2:U2"/>
    <mergeCell ref="M2:O2"/>
    <mergeCell ref="M3:O3"/>
    <mergeCell ref="J24:L24"/>
    <mergeCell ref="AH3:AJ3"/>
    <mergeCell ref="AH5:AJ5"/>
    <mergeCell ref="A69:A72"/>
    <mergeCell ref="B69:B72"/>
    <mergeCell ref="A44:I44"/>
    <mergeCell ref="A45:A48"/>
    <mergeCell ref="B45:B48"/>
    <mergeCell ref="C45:C48"/>
    <mergeCell ref="D45:D48"/>
    <mergeCell ref="E45:E48"/>
    <mergeCell ref="F45:I45"/>
    <mergeCell ref="F46:I46"/>
    <mergeCell ref="F24:I24"/>
    <mergeCell ref="B23:B26"/>
    <mergeCell ref="Y26:AA26"/>
    <mergeCell ref="P48:R48"/>
    <mergeCell ref="Y3:AA3"/>
    <mergeCell ref="Y5:AA5"/>
    <mergeCell ref="V3:X3"/>
    <mergeCell ref="M70:O70"/>
    <mergeCell ref="J71:L71"/>
    <mergeCell ref="M71:O71"/>
    <mergeCell ref="J26:L26"/>
    <mergeCell ref="J46:L46"/>
    <mergeCell ref="L111:N111"/>
    <mergeCell ref="Y59:AA59"/>
    <mergeCell ref="V80:X80"/>
    <mergeCell ref="Y80:AA80"/>
    <mergeCell ref="AB80:AD80"/>
    <mergeCell ref="X72:Y72"/>
    <mergeCell ref="X73:Y73"/>
    <mergeCell ref="X74:Y74"/>
    <mergeCell ref="X75:Y75"/>
    <mergeCell ref="V79:AD79"/>
    <mergeCell ref="J70:L70"/>
    <mergeCell ref="J175:L175"/>
    <mergeCell ref="M175:O175"/>
    <mergeCell ref="J136:L136"/>
    <mergeCell ref="M136:O136"/>
    <mergeCell ref="G137:I137"/>
    <mergeCell ref="J137:L137"/>
    <mergeCell ref="M137:O137"/>
    <mergeCell ref="A135:A138"/>
    <mergeCell ref="B135:B138"/>
    <mergeCell ref="C135:C138"/>
    <mergeCell ref="D135:D138"/>
    <mergeCell ref="E135:E138"/>
  </mergeCells>
  <pageMargins left="0.7" right="0.7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49" zoomScaleNormal="100" workbookViewId="0">
      <selection activeCell="A51" sqref="A51:B55"/>
    </sheetView>
  </sheetViews>
  <sheetFormatPr defaultColWidth="11.42578125" defaultRowHeight="15" x14ac:dyDescent="0.25"/>
  <cols>
    <col min="1" max="1" width="8.140625" bestFit="1" customWidth="1"/>
    <col min="2" max="3" width="9.7109375" bestFit="1" customWidth="1"/>
    <col min="4" max="4" width="7.85546875" bestFit="1" customWidth="1"/>
    <col min="5" max="5" width="14.85546875" customWidth="1"/>
    <col min="6" max="16" width="10.85546875" customWidth="1"/>
    <col min="23" max="23" width="22.85546875" style="424" customWidth="1"/>
    <col min="24" max="28" width="11.42578125" style="424"/>
    <col min="29" max="29" width="10.7109375" customWidth="1"/>
    <col min="30" max="30" width="13" customWidth="1"/>
    <col min="31" max="31" width="21.42578125" bestFit="1" customWidth="1"/>
  </cols>
  <sheetData>
    <row r="1" spans="1:39" ht="20.25" x14ac:dyDescent="0.3">
      <c r="J1" s="347" t="s">
        <v>211</v>
      </c>
      <c r="Y1" s="347" t="s">
        <v>219</v>
      </c>
    </row>
    <row r="2" spans="1:39" ht="15" customHeight="1" x14ac:dyDescent="0.25">
      <c r="AK2" s="432"/>
      <c r="AL2" s="432"/>
      <c r="AM2" s="432"/>
    </row>
    <row r="3" spans="1:39" ht="15.75" customHeight="1" x14ac:dyDescent="0.25">
      <c r="AK3" s="432"/>
      <c r="AL3" s="432"/>
      <c r="AM3" s="432"/>
    </row>
    <row r="4" spans="1:39" ht="15" customHeight="1" x14ac:dyDescent="0.25">
      <c r="A4" s="607" t="s">
        <v>216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P4" s="607"/>
      <c r="Q4" s="607"/>
      <c r="S4" s="607" t="s">
        <v>220</v>
      </c>
      <c r="T4" s="607"/>
      <c r="U4" s="607"/>
      <c r="V4" s="607"/>
      <c r="W4" s="607"/>
      <c r="X4" s="607"/>
      <c r="Y4" s="432"/>
      <c r="Z4" s="432"/>
      <c r="AA4" s="607" t="s">
        <v>222</v>
      </c>
      <c r="AB4" s="607"/>
      <c r="AC4" s="607"/>
      <c r="AD4" s="607"/>
      <c r="AE4" s="607"/>
      <c r="AF4" s="607"/>
    </row>
    <row r="5" spans="1:39" ht="15.75" customHeight="1" thickBot="1" x14ac:dyDescent="0.3">
      <c r="A5" s="607"/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  <c r="S5" s="608"/>
      <c r="T5" s="608"/>
      <c r="U5" s="608"/>
      <c r="V5" s="608"/>
      <c r="W5" s="608"/>
      <c r="X5" s="608"/>
      <c r="Y5" s="432"/>
      <c r="Z5" s="432"/>
      <c r="AA5" s="608"/>
      <c r="AB5" s="608"/>
      <c r="AC5" s="608"/>
      <c r="AD5" s="608"/>
      <c r="AE5" s="608"/>
      <c r="AF5" s="608"/>
    </row>
    <row r="6" spans="1:39" ht="15.75" thickBot="1" x14ac:dyDescent="0.3">
      <c r="A6" s="627" t="s">
        <v>3</v>
      </c>
      <c r="B6" s="629" t="s">
        <v>19</v>
      </c>
      <c r="C6" s="629" t="s">
        <v>20</v>
      </c>
      <c r="D6" s="631" t="s">
        <v>4</v>
      </c>
      <c r="E6" s="633" t="s">
        <v>104</v>
      </c>
      <c r="F6" s="624" t="s">
        <v>5</v>
      </c>
      <c r="G6" s="625"/>
      <c r="H6" s="625"/>
      <c r="I6" s="626"/>
      <c r="J6" s="433"/>
      <c r="K6" s="434"/>
      <c r="L6" s="434"/>
      <c r="M6" s="434"/>
      <c r="N6" s="434"/>
      <c r="O6" s="434"/>
      <c r="P6" s="434"/>
      <c r="S6" s="622" t="s">
        <v>111</v>
      </c>
      <c r="T6" s="609" t="s">
        <v>86</v>
      </c>
      <c r="U6" s="609" t="s">
        <v>59</v>
      </c>
      <c r="V6" s="609" t="s">
        <v>28</v>
      </c>
      <c r="W6" s="609" t="s">
        <v>29</v>
      </c>
      <c r="X6" s="609" t="s">
        <v>30</v>
      </c>
      <c r="Y6"/>
      <c r="Z6"/>
      <c r="AA6" s="611" t="s">
        <v>112</v>
      </c>
      <c r="AB6" s="611" t="s">
        <v>86</v>
      </c>
      <c r="AC6" s="611" t="s">
        <v>59</v>
      </c>
      <c r="AD6" s="611" t="s">
        <v>28</v>
      </c>
      <c r="AE6" s="611" t="s">
        <v>29</v>
      </c>
      <c r="AF6" s="611" t="s">
        <v>30</v>
      </c>
    </row>
    <row r="7" spans="1:39" ht="15.75" thickBot="1" x14ac:dyDescent="0.3">
      <c r="A7" s="628"/>
      <c r="B7" s="630"/>
      <c r="C7" s="630"/>
      <c r="D7" s="632"/>
      <c r="E7" s="634"/>
      <c r="F7" s="619" t="s">
        <v>26</v>
      </c>
      <c r="G7" s="620"/>
      <c r="H7" s="620"/>
      <c r="I7" s="621"/>
      <c r="J7" s="435"/>
      <c r="K7" s="613" t="s">
        <v>47</v>
      </c>
      <c r="L7" s="614"/>
      <c r="M7" s="615"/>
      <c r="N7" s="613" t="s">
        <v>61</v>
      </c>
      <c r="O7" s="614"/>
      <c r="P7" s="615"/>
      <c r="S7" s="623"/>
      <c r="T7" s="610"/>
      <c r="U7" s="610"/>
      <c r="V7" s="610"/>
      <c r="W7" s="610"/>
      <c r="X7" s="610"/>
      <c r="Y7"/>
      <c r="Z7"/>
      <c r="AA7" s="612"/>
      <c r="AB7" s="612"/>
      <c r="AC7" s="612"/>
      <c r="AD7" s="612"/>
      <c r="AE7" s="612"/>
      <c r="AF7" s="612"/>
    </row>
    <row r="8" spans="1:39" ht="15.75" thickBot="1" x14ac:dyDescent="0.3">
      <c r="A8" s="628"/>
      <c r="B8" s="630"/>
      <c r="C8" s="630"/>
      <c r="D8" s="632"/>
      <c r="E8" s="634"/>
      <c r="F8" s="436" t="s">
        <v>6</v>
      </c>
      <c r="G8" s="437" t="s">
        <v>7</v>
      </c>
      <c r="H8" s="437" t="s">
        <v>8</v>
      </c>
      <c r="I8" s="438" t="s">
        <v>9</v>
      </c>
      <c r="J8" s="439" t="s">
        <v>225</v>
      </c>
      <c r="K8" s="440" t="s">
        <v>60</v>
      </c>
      <c r="L8" s="441" t="s">
        <v>21</v>
      </c>
      <c r="M8" s="442" t="s">
        <v>2</v>
      </c>
      <c r="N8" s="440" t="s">
        <v>60</v>
      </c>
      <c r="O8" s="441" t="s">
        <v>21</v>
      </c>
      <c r="P8" s="442" t="s">
        <v>2</v>
      </c>
      <c r="Q8" s="425"/>
      <c r="S8" s="400" t="s">
        <v>87</v>
      </c>
      <c r="T8" s="401" t="s">
        <v>88</v>
      </c>
      <c r="U8" s="428">
        <f>(24-U11-U18)/(1+(1/1.5*5/60)+0+(1/1.5*10/60))</f>
        <v>16.928571428571427</v>
      </c>
      <c r="V8" s="428">
        <f>(24-V11-V18)/(1+(1/1.5*5/60)+(1/1.5*3*4/60)+(1/1.5*10/60))</f>
        <v>15.192307692307692</v>
      </c>
      <c r="W8" s="428">
        <f>(24-W11-W18)/(1+(1/1.5*5/60)+(1/1.5*8*5/60)+(1/1.5*10/60))</f>
        <v>11.637931034482758</v>
      </c>
      <c r="X8" s="428">
        <f>(24-X11-X18)/(1+(1/1.5*5/60)+(3/1.5*(8*5/60))+(1/1.5*10/60))</f>
        <v>7.1</v>
      </c>
      <c r="Y8"/>
      <c r="Z8"/>
      <c r="AA8" s="426" t="s">
        <v>87</v>
      </c>
      <c r="AB8" s="427" t="s">
        <v>88</v>
      </c>
      <c r="AC8" s="428">
        <f>(24-AC10-AC17)/(1+(30/60/1.5)+(5/60/1.5))</f>
        <v>14.22</v>
      </c>
      <c r="AD8" s="428">
        <f>(24-AD10-AD17)/(1+(30/60/1.5)+(5/60/1.5))</f>
        <v>14.22</v>
      </c>
      <c r="AE8" s="428">
        <f>(24-AE10-AE17)/(1+(45/60/1.5)+(5/60/1.5))</f>
        <v>12.053571428571429</v>
      </c>
      <c r="AF8" s="428">
        <f>(24-AF10-AF17)/(1+(45/60/1.5)+(5/60/1.5))</f>
        <v>11.410714285714285</v>
      </c>
    </row>
    <row r="9" spans="1:39" ht="15.75" thickBot="1" x14ac:dyDescent="0.3">
      <c r="A9" s="628"/>
      <c r="B9" s="630"/>
      <c r="C9" s="630"/>
      <c r="D9" s="632"/>
      <c r="E9" s="635"/>
      <c r="F9" s="443" t="s">
        <v>44</v>
      </c>
      <c r="G9" s="444" t="s">
        <v>10</v>
      </c>
      <c r="H9" s="444" t="s">
        <v>11</v>
      </c>
      <c r="I9" s="445" t="s">
        <v>12</v>
      </c>
      <c r="J9" s="446"/>
      <c r="K9" s="616" t="s">
        <v>48</v>
      </c>
      <c r="L9" s="617"/>
      <c r="M9" s="618"/>
      <c r="N9" s="619" t="s">
        <v>64</v>
      </c>
      <c r="O9" s="620"/>
      <c r="P9" s="621"/>
      <c r="S9" s="403" t="s">
        <v>100</v>
      </c>
      <c r="T9" s="404" t="s">
        <v>88</v>
      </c>
      <c r="U9" s="431">
        <f>U8/1.5*5/60</f>
        <v>0.94047619047619035</v>
      </c>
      <c r="V9" s="431">
        <f t="shared" ref="V9:X9" si="0">V8/1.5*5/60</f>
        <v>0.84401709401709391</v>
      </c>
      <c r="W9" s="431">
        <f t="shared" si="0"/>
        <v>0.64655172413793094</v>
      </c>
      <c r="X9" s="431">
        <f t="shared" si="0"/>
        <v>0.39444444444444449</v>
      </c>
      <c r="Y9"/>
      <c r="Z9"/>
      <c r="AA9" s="403" t="s">
        <v>89</v>
      </c>
      <c r="AB9" s="418" t="s">
        <v>88</v>
      </c>
      <c r="AC9" s="405">
        <f>AC8/1.5*30/60</f>
        <v>4.74</v>
      </c>
      <c r="AD9" s="405">
        <f>AD8/1.5*30/60</f>
        <v>4.74</v>
      </c>
      <c r="AE9" s="405">
        <f>AE8*45/60/1.5</f>
        <v>6.0267857142857153</v>
      </c>
      <c r="AF9" s="407">
        <f>AF8*45/60/1.5</f>
        <v>5.7053571428571423</v>
      </c>
    </row>
    <row r="10" spans="1:39" x14ac:dyDescent="0.25">
      <c r="A10" s="447">
        <f>Advancement!A6</f>
        <v>26</v>
      </c>
      <c r="B10" s="448">
        <f>Advancement!B6</f>
        <v>49118</v>
      </c>
      <c r="C10" s="448">
        <f>Advancement!C6</f>
        <v>50323</v>
      </c>
      <c r="D10" s="449">
        <f>Advancement!D6</f>
        <v>1205</v>
      </c>
      <c r="E10" s="450" t="str">
        <f>Advancement!E6</f>
        <v>GB-G-GA-1</v>
      </c>
      <c r="F10" s="451">
        <f>Advancement!F6</f>
        <v>0</v>
      </c>
      <c r="G10" s="452">
        <f>Advancement!G6</f>
        <v>0</v>
      </c>
      <c r="H10" s="452">
        <f>Advancement!H6</f>
        <v>0.15</v>
      </c>
      <c r="I10" s="450">
        <f>Advancement!I6</f>
        <v>0.85</v>
      </c>
      <c r="J10" s="453">
        <f>Advancement!AF6</f>
        <v>1.533855593583263</v>
      </c>
      <c r="K10" s="454">
        <f t="shared" ref="K10:K23" si="1">(F10*$X$8+G10*$W$8+H10*$V$8+I10*$U$8)/24</f>
        <v>0.69450549450549437</v>
      </c>
      <c r="L10" s="454">
        <f t="shared" ref="L10:L23" si="2">(F10*$AF$8+G10*$AE$8+H10*$AD$8+I10*$AC$8)/24</f>
        <v>0.59249999999999992</v>
      </c>
      <c r="M10" s="455">
        <f t="shared" ref="M10:M23" si="3">(F10*$X$29+G10*$W$29+H10*$V$29+I10*$U$29)/24</f>
        <v>0.67329545454545447</v>
      </c>
      <c r="N10" s="456">
        <f>J10*K10*24*(340/12)</f>
        <v>724.38437351466257</v>
      </c>
      <c r="O10" s="449">
        <f>J10*L10*24*(340/12)</f>
        <v>617.99041865469655</v>
      </c>
      <c r="P10" s="457">
        <f>J10*M10*24*(340/12)</f>
        <v>702.26183938033694</v>
      </c>
      <c r="S10" s="406" t="s">
        <v>101</v>
      </c>
      <c r="T10" s="404" t="s">
        <v>88</v>
      </c>
      <c r="U10" s="431">
        <v>0</v>
      </c>
      <c r="V10" s="431">
        <f>V8/1.5*(3*4/60)</f>
        <v>2.0256410256410255</v>
      </c>
      <c r="W10" s="431">
        <f>W8/1.5*(8*5/60)</f>
        <v>5.1724137931034475</v>
      </c>
      <c r="X10" s="431">
        <f>3*X8/1.5*(8*5/60)</f>
        <v>9.466666666666665</v>
      </c>
      <c r="Y10"/>
      <c r="Z10"/>
      <c r="AA10" s="403" t="s">
        <v>90</v>
      </c>
      <c r="AB10" s="418" t="s">
        <v>88</v>
      </c>
      <c r="AC10" s="405">
        <v>4</v>
      </c>
      <c r="AD10" s="405">
        <v>4</v>
      </c>
      <c r="AE10" s="405">
        <v>5</v>
      </c>
      <c r="AF10" s="405">
        <v>6</v>
      </c>
    </row>
    <row r="11" spans="1:39" x14ac:dyDescent="0.25">
      <c r="A11" s="458">
        <f>Advancement!A7</f>
        <v>27</v>
      </c>
      <c r="B11" s="459">
        <f>Advancement!B7</f>
        <v>50323</v>
      </c>
      <c r="C11" s="459">
        <f>Advancement!C7</f>
        <v>50395</v>
      </c>
      <c r="D11" s="460">
        <f>Advancement!D7</f>
        <v>72</v>
      </c>
      <c r="E11" s="461" t="str">
        <f>Advancement!E7</f>
        <v>GB-G-GA-2</v>
      </c>
      <c r="F11" s="462">
        <f>Advancement!F7</f>
        <v>0</v>
      </c>
      <c r="G11" s="463">
        <f>Advancement!G7</f>
        <v>0.2</v>
      </c>
      <c r="H11" s="463">
        <f>Advancement!H7</f>
        <v>0.55000000000000004</v>
      </c>
      <c r="I11" s="461">
        <f>Advancement!I7</f>
        <v>0.25</v>
      </c>
      <c r="J11" s="464">
        <f>Advancement!AF7</f>
        <v>1.7545435972302392</v>
      </c>
      <c r="K11" s="465">
        <f t="shared" si="1"/>
        <v>0.62147909561702663</v>
      </c>
      <c r="L11" s="465">
        <f t="shared" si="2"/>
        <v>0.57444642857142858</v>
      </c>
      <c r="M11" s="466">
        <f t="shared" si="3"/>
        <v>0.65713636363636363</v>
      </c>
      <c r="N11" s="467">
        <f t="shared" ref="N11:N23" si="4">J11*K11*24*(340/12)</f>
        <v>741.48027425855969</v>
      </c>
      <c r="O11" s="460">
        <f t="shared" ref="O11:O23" si="5">J11*L11*24*(340/12)</f>
        <v>685.36608617720901</v>
      </c>
      <c r="P11" s="468">
        <f t="shared" ref="P11:P23" si="6">J11*M11*24*(340/12)</f>
        <v>784.02259154123396</v>
      </c>
      <c r="S11" s="403" t="s">
        <v>90</v>
      </c>
      <c r="T11" s="404" t="s">
        <v>88</v>
      </c>
      <c r="U11" s="431">
        <v>4</v>
      </c>
      <c r="V11" s="431">
        <v>4</v>
      </c>
      <c r="W11" s="431">
        <v>5</v>
      </c>
      <c r="X11" s="431">
        <v>6</v>
      </c>
      <c r="Y11"/>
      <c r="Z11"/>
      <c r="AA11" s="403" t="s">
        <v>91</v>
      </c>
      <c r="AB11" s="418" t="s">
        <v>88</v>
      </c>
      <c r="AC11" s="405">
        <f>AC8*1/12/1.5</f>
        <v>0.79</v>
      </c>
      <c r="AD11" s="405">
        <f>AD8*1/12/1.5</f>
        <v>0.79</v>
      </c>
      <c r="AE11" s="405">
        <f>AE8*1/12/1.5</f>
        <v>0.66964285714285721</v>
      </c>
      <c r="AF11" s="405">
        <f>AF8*1/12/1.5</f>
        <v>0.6339285714285714</v>
      </c>
    </row>
    <row r="12" spans="1:39" x14ac:dyDescent="0.25">
      <c r="A12" s="458">
        <f>Advancement!A8</f>
        <v>28</v>
      </c>
      <c r="B12" s="459">
        <f>Advancement!B8</f>
        <v>50395</v>
      </c>
      <c r="C12" s="459">
        <f>Advancement!C8</f>
        <v>51494.5</v>
      </c>
      <c r="D12" s="460">
        <f>Advancement!D8</f>
        <v>1099.5</v>
      </c>
      <c r="E12" s="461" t="str">
        <f>Advancement!E8</f>
        <v>GB-G-GA-3</v>
      </c>
      <c r="F12" s="462">
        <f>Advancement!F8</f>
        <v>0</v>
      </c>
      <c r="G12" s="463">
        <f>Advancement!G8</f>
        <v>0</v>
      </c>
      <c r="H12" s="463">
        <f>Advancement!H8</f>
        <v>0.25</v>
      </c>
      <c r="I12" s="461">
        <f>Advancement!I8</f>
        <v>0.75</v>
      </c>
      <c r="J12" s="464">
        <f>Advancement!AF8</f>
        <v>1.5211788877100412</v>
      </c>
      <c r="K12" s="465">
        <f t="shared" si="1"/>
        <v>0.68727106227106216</v>
      </c>
      <c r="L12" s="465">
        <f t="shared" si="2"/>
        <v>0.59250000000000003</v>
      </c>
      <c r="M12" s="466">
        <f t="shared" si="3"/>
        <v>0.67329545454545447</v>
      </c>
      <c r="N12" s="467">
        <f t="shared" si="4"/>
        <v>710.914316441339</v>
      </c>
      <c r="O12" s="460">
        <f t="shared" si="5"/>
        <v>612.88297385837564</v>
      </c>
      <c r="P12" s="468">
        <f t="shared" si="6"/>
        <v>696.45792483906303</v>
      </c>
      <c r="S12" s="403" t="s">
        <v>91</v>
      </c>
      <c r="T12" s="404" t="s">
        <v>88</v>
      </c>
      <c r="U12" s="431">
        <f>U8*1/6/1.5</f>
        <v>1.8809523809523807</v>
      </c>
      <c r="V12" s="431">
        <f t="shared" ref="V12:X12" si="7">V8*1/6/1.5</f>
        <v>1.688034188034188</v>
      </c>
      <c r="W12" s="431">
        <f t="shared" si="7"/>
        <v>1.2931034482758619</v>
      </c>
      <c r="X12" s="431">
        <f t="shared" si="7"/>
        <v>0.78888888888888886</v>
      </c>
      <c r="Y12"/>
      <c r="Z12"/>
      <c r="AA12" s="403" t="s">
        <v>217</v>
      </c>
      <c r="AB12" s="418" t="s">
        <v>88</v>
      </c>
      <c r="AC12" s="405">
        <v>0</v>
      </c>
      <c r="AD12" s="405">
        <v>0</v>
      </c>
      <c r="AE12" s="405">
        <v>0</v>
      </c>
      <c r="AF12" s="407">
        <v>0</v>
      </c>
    </row>
    <row r="13" spans="1:39" x14ac:dyDescent="0.25">
      <c r="A13" s="458" t="str">
        <f>Advancement!A9</f>
        <v>F4</v>
      </c>
      <c r="B13" s="459">
        <f>Advancement!B9</f>
        <v>51494.5</v>
      </c>
      <c r="C13" s="459">
        <f>Advancement!C9</f>
        <v>51505.5</v>
      </c>
      <c r="D13" s="460">
        <f>Advancement!D9</f>
        <v>11</v>
      </c>
      <c r="E13" s="461" t="str">
        <f>Advancement!E9</f>
        <v>F4</v>
      </c>
      <c r="F13" s="462">
        <f>Advancement!F9</f>
        <v>0</v>
      </c>
      <c r="G13" s="463">
        <f>Advancement!G9</f>
        <v>1</v>
      </c>
      <c r="H13" s="463">
        <f>Advancement!H9</f>
        <v>0</v>
      </c>
      <c r="I13" s="461">
        <f>Advancement!I9</f>
        <v>0</v>
      </c>
      <c r="J13" s="464">
        <f>Advancement!AF9</f>
        <v>1.7291100377100412</v>
      </c>
      <c r="K13" s="465">
        <f t="shared" si="1"/>
        <v>0.48491379310344823</v>
      </c>
      <c r="L13" s="465">
        <f t="shared" si="2"/>
        <v>0.5022321428571429</v>
      </c>
      <c r="M13" s="466">
        <f t="shared" si="3"/>
        <v>0.59250000000000003</v>
      </c>
      <c r="N13" s="467">
        <f t="shared" si="4"/>
        <v>570.15912881387135</v>
      </c>
      <c r="O13" s="460">
        <f t="shared" si="5"/>
        <v>590.52195484293827</v>
      </c>
      <c r="P13" s="468">
        <f t="shared" si="6"/>
        <v>696.65843419337557</v>
      </c>
      <c r="S13" s="403" t="s">
        <v>217</v>
      </c>
      <c r="T13" s="404" t="s">
        <v>88</v>
      </c>
      <c r="U13" s="405">
        <v>0</v>
      </c>
      <c r="V13" s="405">
        <v>0</v>
      </c>
      <c r="W13" s="405">
        <v>0</v>
      </c>
      <c r="X13" s="407">
        <v>0</v>
      </c>
      <c r="Y13"/>
      <c r="Z13"/>
      <c r="AA13" s="403" t="s">
        <v>218</v>
      </c>
      <c r="AB13" s="418" t="s">
        <v>88</v>
      </c>
      <c r="AC13" s="405">
        <v>0</v>
      </c>
      <c r="AD13" s="405">
        <v>0</v>
      </c>
      <c r="AE13" s="405">
        <v>0</v>
      </c>
      <c r="AF13" s="405">
        <v>0</v>
      </c>
    </row>
    <row r="14" spans="1:39" ht="15.75" thickBot="1" x14ac:dyDescent="0.3">
      <c r="A14" s="458">
        <f>Advancement!A10</f>
        <v>28</v>
      </c>
      <c r="B14" s="459">
        <f>Advancement!B10</f>
        <v>51505.5</v>
      </c>
      <c r="C14" s="459">
        <f>Advancement!C10</f>
        <v>51564</v>
      </c>
      <c r="D14" s="460">
        <f>Advancement!D10</f>
        <v>58.5</v>
      </c>
      <c r="E14" s="461" t="str">
        <f>Advancement!E10</f>
        <v>GB-G-GA-3</v>
      </c>
      <c r="F14" s="462">
        <f>Advancement!F10</f>
        <v>0</v>
      </c>
      <c r="G14" s="463">
        <f>Advancement!G10</f>
        <v>0</v>
      </c>
      <c r="H14" s="463">
        <f>Advancement!H10</f>
        <v>0.25</v>
      </c>
      <c r="I14" s="461">
        <f>Advancement!I10</f>
        <v>0.75</v>
      </c>
      <c r="J14" s="464">
        <f>Advancement!AF10</f>
        <v>1.5211788877100412</v>
      </c>
      <c r="K14" s="465">
        <f t="shared" si="1"/>
        <v>0.68727106227106216</v>
      </c>
      <c r="L14" s="465">
        <f t="shared" si="2"/>
        <v>0.59250000000000003</v>
      </c>
      <c r="M14" s="466">
        <f t="shared" si="3"/>
        <v>0.67329545454545447</v>
      </c>
      <c r="N14" s="469">
        <f t="shared" si="4"/>
        <v>710.914316441339</v>
      </c>
      <c r="O14" s="470">
        <f t="shared" si="5"/>
        <v>612.88297385837564</v>
      </c>
      <c r="P14" s="471">
        <f t="shared" si="6"/>
        <v>696.45792483906303</v>
      </c>
      <c r="S14" s="403" t="s">
        <v>218</v>
      </c>
      <c r="T14" s="404" t="s">
        <v>88</v>
      </c>
      <c r="U14" s="405">
        <v>0</v>
      </c>
      <c r="V14" s="405">
        <v>0</v>
      </c>
      <c r="W14" s="405">
        <v>0</v>
      </c>
      <c r="X14" s="405">
        <v>0</v>
      </c>
      <c r="Y14"/>
      <c r="Z14"/>
      <c r="AA14" s="403" t="s">
        <v>92</v>
      </c>
      <c r="AB14" s="418" t="s">
        <v>88</v>
      </c>
      <c r="AC14" s="405">
        <v>0</v>
      </c>
      <c r="AD14" s="405">
        <v>0</v>
      </c>
      <c r="AE14" s="405">
        <v>0</v>
      </c>
      <c r="AF14" s="407">
        <v>0</v>
      </c>
    </row>
    <row r="15" spans="1:39" ht="15.75" thickBot="1" x14ac:dyDescent="0.3">
      <c r="A15" s="458">
        <f>Advancement!A11</f>
        <v>29</v>
      </c>
      <c r="B15" s="459">
        <f>Advancement!B11</f>
        <v>51564</v>
      </c>
      <c r="C15" s="459">
        <f>Advancement!C11</f>
        <v>51639</v>
      </c>
      <c r="D15" s="460">
        <f>Advancement!D11</f>
        <v>75</v>
      </c>
      <c r="E15" s="461" t="str">
        <f>Advancement!E11</f>
        <v>GB-G-GA-4</v>
      </c>
      <c r="F15" s="462">
        <f>Advancement!F11</f>
        <v>0</v>
      </c>
      <c r="G15" s="463">
        <f>Advancement!G11</f>
        <v>0</v>
      </c>
      <c r="H15" s="463">
        <f>Advancement!H11</f>
        <v>0.45</v>
      </c>
      <c r="I15" s="461">
        <f>Advancement!I11</f>
        <v>0.55000000000000004</v>
      </c>
      <c r="J15" s="464">
        <f>Advancement!AF11</f>
        <v>1.7255959350364674</v>
      </c>
      <c r="K15" s="465">
        <f t="shared" si="1"/>
        <v>0.67280219780219774</v>
      </c>
      <c r="L15" s="465">
        <f t="shared" si="2"/>
        <v>0.59250000000000003</v>
      </c>
      <c r="M15" s="466">
        <f t="shared" si="3"/>
        <v>0.67329545454545447</v>
      </c>
      <c r="N15" s="472">
        <f t="shared" si="4"/>
        <v>789.46962157553003</v>
      </c>
      <c r="O15" s="473">
        <f t="shared" si="5"/>
        <v>695.24260222619262</v>
      </c>
      <c r="P15" s="474">
        <f t="shared" si="6"/>
        <v>790.04841162067351</v>
      </c>
      <c r="S15" s="403" t="s">
        <v>108</v>
      </c>
      <c r="T15" s="404" t="s">
        <v>88</v>
      </c>
      <c r="U15" s="405">
        <v>0</v>
      </c>
      <c r="V15" s="405">
        <v>0</v>
      </c>
      <c r="W15" s="405">
        <v>0</v>
      </c>
      <c r="X15" s="407">
        <v>0</v>
      </c>
      <c r="Y15"/>
      <c r="Z15"/>
      <c r="AA15" s="403" t="s">
        <v>160</v>
      </c>
      <c r="AB15" s="418" t="s">
        <v>88</v>
      </c>
      <c r="AC15" s="405">
        <v>0</v>
      </c>
      <c r="AD15" s="405">
        <v>0</v>
      </c>
      <c r="AE15" s="405">
        <v>0</v>
      </c>
      <c r="AF15" s="405">
        <v>0</v>
      </c>
    </row>
    <row r="16" spans="1:39" x14ac:dyDescent="0.25">
      <c r="A16" s="458" t="str">
        <f>Advancement!A12</f>
        <v>F6-F7</v>
      </c>
      <c r="B16" s="459">
        <f>Advancement!B12</f>
        <v>51639</v>
      </c>
      <c r="C16" s="459">
        <f>Advancement!C12</f>
        <v>51743</v>
      </c>
      <c r="D16" s="460">
        <f>Advancement!D12</f>
        <v>104</v>
      </c>
      <c r="E16" s="461" t="str">
        <f>Advancement!E12</f>
        <v>F6-F7</v>
      </c>
      <c r="F16" s="462">
        <f>Advancement!F12</f>
        <v>0</v>
      </c>
      <c r="G16" s="463">
        <f>Advancement!G12</f>
        <v>1</v>
      </c>
      <c r="H16" s="463">
        <f>Advancement!H12</f>
        <v>0</v>
      </c>
      <c r="I16" s="461">
        <f>Advancement!I12</f>
        <v>0</v>
      </c>
      <c r="J16" s="464">
        <f>Advancement!AF12</f>
        <v>1.7804508350364674</v>
      </c>
      <c r="K16" s="465">
        <f t="shared" si="1"/>
        <v>0.48491379310344823</v>
      </c>
      <c r="L16" s="465">
        <f t="shared" si="2"/>
        <v>0.5022321428571429</v>
      </c>
      <c r="M16" s="466">
        <f t="shared" si="3"/>
        <v>0.59250000000000003</v>
      </c>
      <c r="N16" s="475">
        <f t="shared" si="4"/>
        <v>587.08831413917994</v>
      </c>
      <c r="O16" s="476">
        <f t="shared" si="5"/>
        <v>608.05575392986498</v>
      </c>
      <c r="P16" s="477">
        <f t="shared" si="6"/>
        <v>717.34364143619268</v>
      </c>
      <c r="S16" s="403" t="s">
        <v>160</v>
      </c>
      <c r="T16" s="404" t="s">
        <v>88</v>
      </c>
      <c r="U16" s="405">
        <v>0</v>
      </c>
      <c r="V16" s="405">
        <v>0</v>
      </c>
      <c r="W16" s="405">
        <v>0</v>
      </c>
      <c r="X16" s="405">
        <v>0</v>
      </c>
      <c r="Y16"/>
      <c r="Z16"/>
      <c r="AA16" s="403" t="s">
        <v>161</v>
      </c>
      <c r="AB16" s="418" t="s">
        <v>88</v>
      </c>
      <c r="AC16" s="405">
        <v>0</v>
      </c>
      <c r="AD16" s="405">
        <v>0</v>
      </c>
      <c r="AE16" s="405">
        <v>0</v>
      </c>
      <c r="AF16" s="405">
        <v>0</v>
      </c>
    </row>
    <row r="17" spans="1:32" ht="15.75" thickBot="1" x14ac:dyDescent="0.3">
      <c r="A17" s="458">
        <f>Advancement!A13</f>
        <v>30</v>
      </c>
      <c r="B17" s="459">
        <f>Advancement!B13</f>
        <v>51743</v>
      </c>
      <c r="C17" s="459">
        <f>Advancement!C13</f>
        <v>51980.5</v>
      </c>
      <c r="D17" s="460">
        <f>Advancement!D13</f>
        <v>237.5</v>
      </c>
      <c r="E17" s="461" t="str">
        <f>Advancement!E13</f>
        <v>GB-G-GA-5</v>
      </c>
      <c r="F17" s="462">
        <f>Advancement!F13</f>
        <v>0</v>
      </c>
      <c r="G17" s="463">
        <f>Advancement!G13</f>
        <v>0</v>
      </c>
      <c r="H17" s="463">
        <f>Advancement!H13</f>
        <v>0.3</v>
      </c>
      <c r="I17" s="461">
        <f>Advancement!I13</f>
        <v>0.7</v>
      </c>
      <c r="J17" s="464">
        <f>Advancement!AF13</f>
        <v>1.6141491135476755</v>
      </c>
      <c r="K17" s="465">
        <f t="shared" si="1"/>
        <v>0.68365384615384606</v>
      </c>
      <c r="L17" s="465">
        <f t="shared" si="2"/>
        <v>0.59250000000000003</v>
      </c>
      <c r="M17" s="466">
        <f t="shared" si="3"/>
        <v>0.67329545454545447</v>
      </c>
      <c r="N17" s="467">
        <f t="shared" si="4"/>
        <v>750.39308982502882</v>
      </c>
      <c r="O17" s="460">
        <f t="shared" si="5"/>
        <v>650.3406778483585</v>
      </c>
      <c r="P17" s="468">
        <f t="shared" si="6"/>
        <v>739.02349755495277</v>
      </c>
      <c r="S17" s="403" t="s">
        <v>161</v>
      </c>
      <c r="T17" s="404" t="s">
        <v>88</v>
      </c>
      <c r="U17" s="405">
        <v>0</v>
      </c>
      <c r="V17" s="405">
        <v>0</v>
      </c>
      <c r="W17" s="405">
        <v>0</v>
      </c>
      <c r="X17" s="405">
        <v>0</v>
      </c>
      <c r="Y17"/>
      <c r="Z17"/>
      <c r="AA17" s="408" t="s">
        <v>93</v>
      </c>
      <c r="AB17" s="419" t="s">
        <v>88</v>
      </c>
      <c r="AC17" s="410">
        <f>15/60</f>
        <v>0.25</v>
      </c>
      <c r="AD17" s="410">
        <f t="shared" ref="AD17:AF17" si="8">15/60</f>
        <v>0.25</v>
      </c>
      <c r="AE17" s="410">
        <f t="shared" si="8"/>
        <v>0.25</v>
      </c>
      <c r="AF17" s="410">
        <f t="shared" si="8"/>
        <v>0.25</v>
      </c>
    </row>
    <row r="18" spans="1:32" ht="15.75" thickBot="1" x14ac:dyDescent="0.3">
      <c r="A18" s="478" t="str">
        <f>Advancement!A14</f>
        <v>F9</v>
      </c>
      <c r="B18" s="459">
        <f>Advancement!B14</f>
        <v>51980.5</v>
      </c>
      <c r="C18" s="479">
        <f>Advancement!C14</f>
        <v>52003.5</v>
      </c>
      <c r="D18" s="460">
        <f>Advancement!D14</f>
        <v>23</v>
      </c>
      <c r="E18" s="480" t="str">
        <f>Advancement!E14</f>
        <v>F9</v>
      </c>
      <c r="F18" s="462">
        <f>Advancement!F14</f>
        <v>0</v>
      </c>
      <c r="G18" s="463">
        <f>Advancement!G14</f>
        <v>1</v>
      </c>
      <c r="H18" s="463">
        <f>Advancement!H14</f>
        <v>0</v>
      </c>
      <c r="I18" s="461">
        <f>Advancement!I14</f>
        <v>0</v>
      </c>
      <c r="J18" s="464">
        <f>Advancement!AF14</f>
        <v>1.7382087706905331</v>
      </c>
      <c r="K18" s="465">
        <f t="shared" si="1"/>
        <v>0.48491379310344823</v>
      </c>
      <c r="L18" s="465">
        <f t="shared" si="2"/>
        <v>0.5022321428571429</v>
      </c>
      <c r="M18" s="466">
        <f t="shared" si="3"/>
        <v>0.59250000000000003</v>
      </c>
      <c r="N18" s="467">
        <f t="shared" si="4"/>
        <v>573.15935757683519</v>
      </c>
      <c r="O18" s="460">
        <f t="shared" si="5"/>
        <v>593.62933463315096</v>
      </c>
      <c r="P18" s="468">
        <f t="shared" si="6"/>
        <v>700.32431371121572</v>
      </c>
      <c r="S18" s="408" t="s">
        <v>93</v>
      </c>
      <c r="T18" s="409" t="s">
        <v>88</v>
      </c>
      <c r="U18" s="410">
        <f>15/60</f>
        <v>0.25</v>
      </c>
      <c r="V18" s="410">
        <f t="shared" ref="V18:X18" si="9">15/60</f>
        <v>0.25</v>
      </c>
      <c r="W18" s="410">
        <f t="shared" si="9"/>
        <v>0.25</v>
      </c>
      <c r="X18" s="410">
        <f t="shared" si="9"/>
        <v>0.25</v>
      </c>
      <c r="Y18"/>
      <c r="Z18"/>
      <c r="AA18" s="400" t="s">
        <v>94</v>
      </c>
      <c r="AB18" s="420" t="s">
        <v>88</v>
      </c>
      <c r="AC18" s="402">
        <f>SUM(AC8:AC17)</f>
        <v>24</v>
      </c>
      <c r="AD18" s="402">
        <f>SUM(AD8:AD17)</f>
        <v>24</v>
      </c>
      <c r="AE18" s="402">
        <f>SUM(AE8:AE17)</f>
        <v>24.000000000000004</v>
      </c>
      <c r="AF18" s="411">
        <f>SUM(AF8:AF17)</f>
        <v>24</v>
      </c>
    </row>
    <row r="19" spans="1:32" x14ac:dyDescent="0.25">
      <c r="A19" s="458">
        <f>Advancement!A15</f>
        <v>30</v>
      </c>
      <c r="B19" s="459">
        <f>Advancement!B15</f>
        <v>52003.5</v>
      </c>
      <c r="C19" s="479">
        <f>Advancement!C15</f>
        <v>52363.5</v>
      </c>
      <c r="D19" s="460">
        <f>Advancement!D15</f>
        <v>360</v>
      </c>
      <c r="E19" s="461" t="str">
        <f>Advancement!E15</f>
        <v>GB-G-GA-5</v>
      </c>
      <c r="F19" s="462">
        <f>Advancement!F15</f>
        <v>0</v>
      </c>
      <c r="G19" s="463">
        <f>Advancement!G15</f>
        <v>0</v>
      </c>
      <c r="H19" s="463">
        <f>Advancement!H15</f>
        <v>0.3</v>
      </c>
      <c r="I19" s="461">
        <f>Advancement!I15</f>
        <v>0.7</v>
      </c>
      <c r="J19" s="464">
        <f>Advancement!AF15</f>
        <v>1.6141491135476755</v>
      </c>
      <c r="K19" s="465">
        <f t="shared" si="1"/>
        <v>0.68365384615384606</v>
      </c>
      <c r="L19" s="465">
        <f t="shared" si="2"/>
        <v>0.59250000000000003</v>
      </c>
      <c r="M19" s="466">
        <f t="shared" si="3"/>
        <v>0.67329545454545447</v>
      </c>
      <c r="N19" s="467">
        <f t="shared" si="4"/>
        <v>750.39308982502882</v>
      </c>
      <c r="O19" s="460">
        <f t="shared" si="5"/>
        <v>650.3406778483585</v>
      </c>
      <c r="P19" s="468">
        <f t="shared" si="6"/>
        <v>739.02349755495277</v>
      </c>
      <c r="S19" s="400" t="s">
        <v>94</v>
      </c>
      <c r="T19" s="401" t="s">
        <v>88</v>
      </c>
      <c r="U19" s="402">
        <f>SUM(U8:U18)</f>
        <v>23.999999999999996</v>
      </c>
      <c r="V19" s="402">
        <f>SUM(V8:V18)</f>
        <v>24</v>
      </c>
      <c r="W19" s="402">
        <f>SUM(W8:W18)</f>
        <v>23.999999999999996</v>
      </c>
      <c r="X19" s="411">
        <f>SUM(X8:X18)</f>
        <v>23.999999999999996</v>
      </c>
      <c r="Y19"/>
      <c r="Z19"/>
      <c r="AA19" s="403" t="s">
        <v>95</v>
      </c>
      <c r="AB19" s="418" t="s">
        <v>96</v>
      </c>
      <c r="AC19" s="412">
        <f>(AC8+AC9)/AC18</f>
        <v>0.79</v>
      </c>
      <c r="AD19" s="412">
        <f>(AD8+AD9)/AD18</f>
        <v>0.79</v>
      </c>
      <c r="AE19" s="412">
        <f>(AE8+AE9)/AE18</f>
        <v>0.7533482142857143</v>
      </c>
      <c r="AF19" s="413">
        <f>(AF8+AF9)/AF18</f>
        <v>0.71316964285714279</v>
      </c>
    </row>
    <row r="20" spans="1:32" x14ac:dyDescent="0.25">
      <c r="A20" s="478" t="str">
        <f>Advancement!A16</f>
        <v>F11</v>
      </c>
      <c r="B20" s="459">
        <f>Advancement!B16</f>
        <v>52363.5</v>
      </c>
      <c r="C20" s="479">
        <f>Advancement!C16</f>
        <v>52392.5</v>
      </c>
      <c r="D20" s="460">
        <f>Advancement!D16</f>
        <v>29</v>
      </c>
      <c r="E20" s="480" t="str">
        <f>Advancement!E16</f>
        <v>F11</v>
      </c>
      <c r="F20" s="462">
        <f>Advancement!F16</f>
        <v>0</v>
      </c>
      <c r="G20" s="463">
        <f>Advancement!G16</f>
        <v>1</v>
      </c>
      <c r="H20" s="463">
        <f>Advancement!H16</f>
        <v>0</v>
      </c>
      <c r="I20" s="461">
        <f>Advancement!I16</f>
        <v>0</v>
      </c>
      <c r="J20" s="464">
        <f>Advancement!AF16</f>
        <v>1.7382087706905331</v>
      </c>
      <c r="K20" s="465">
        <f t="shared" si="1"/>
        <v>0.48491379310344823</v>
      </c>
      <c r="L20" s="465">
        <f t="shared" si="2"/>
        <v>0.5022321428571429</v>
      </c>
      <c r="M20" s="466">
        <f t="shared" si="3"/>
        <v>0.59250000000000003</v>
      </c>
      <c r="N20" s="467">
        <f t="shared" si="4"/>
        <v>573.15935757683519</v>
      </c>
      <c r="O20" s="460">
        <f t="shared" si="5"/>
        <v>593.62933463315096</v>
      </c>
      <c r="P20" s="468">
        <f t="shared" si="6"/>
        <v>700.32431371121572</v>
      </c>
      <c r="S20" s="403" t="s">
        <v>95</v>
      </c>
      <c r="T20" s="404" t="s">
        <v>96</v>
      </c>
      <c r="U20" s="412">
        <f>(U8+U9)/U19</f>
        <v>0.74454365079365081</v>
      </c>
      <c r="V20" s="412">
        <f>(V8+V9)/V19</f>
        <v>0.66818019943019946</v>
      </c>
      <c r="W20" s="412">
        <f>(W8+W9)/W19</f>
        <v>0.5118534482758621</v>
      </c>
      <c r="X20" s="413">
        <f>(X8+X9)/X19</f>
        <v>0.31226851851851856</v>
      </c>
      <c r="Y20"/>
      <c r="Z20"/>
      <c r="AA20" s="403" t="s">
        <v>97</v>
      </c>
      <c r="AB20" s="418" t="s">
        <v>98</v>
      </c>
      <c r="AC20" s="405">
        <f>AC8*Models!$F$15</f>
        <v>24.483889349999998</v>
      </c>
      <c r="AD20" s="405">
        <f>AD8*Models!$F$13</f>
        <v>31.643872650000002</v>
      </c>
      <c r="AE20" s="405">
        <f>AE8*Models!$F$11</f>
        <v>25.6092890625</v>
      </c>
      <c r="AF20" s="407">
        <f>AF8*Models!$F$9</f>
        <v>20.442722544642855</v>
      </c>
    </row>
    <row r="21" spans="1:32" x14ac:dyDescent="0.25">
      <c r="A21" s="458">
        <f>Advancement!A17</f>
        <v>31</v>
      </c>
      <c r="B21" s="459">
        <f>Advancement!B17</f>
        <v>52392.5</v>
      </c>
      <c r="C21" s="479">
        <f>Advancement!C17</f>
        <v>52490.5</v>
      </c>
      <c r="D21" s="460">
        <f>Advancement!D17</f>
        <v>98</v>
      </c>
      <c r="E21" s="480" t="str">
        <f>Advancement!E17</f>
        <v>GB-G-GA-6</v>
      </c>
      <c r="F21" s="481">
        <f>Advancement!F17</f>
        <v>0</v>
      </c>
      <c r="G21" s="482">
        <f>Advancement!G17</f>
        <v>0</v>
      </c>
      <c r="H21" s="482">
        <f>Advancement!H17</f>
        <v>0.5</v>
      </c>
      <c r="I21" s="480">
        <f>Advancement!I17</f>
        <v>0.5</v>
      </c>
      <c r="J21" s="464">
        <f>Advancement!AF17</f>
        <v>1.6463223185832632</v>
      </c>
      <c r="K21" s="465">
        <f t="shared" si="1"/>
        <v>0.66918498168498164</v>
      </c>
      <c r="L21" s="465">
        <f t="shared" si="2"/>
        <v>0.59250000000000003</v>
      </c>
      <c r="M21" s="466">
        <f t="shared" si="3"/>
        <v>0.67329545454545447</v>
      </c>
      <c r="N21" s="467">
        <f t="shared" si="4"/>
        <v>749.15203601392795</v>
      </c>
      <c r="O21" s="460">
        <f t="shared" si="5"/>
        <v>663.30326215719674</v>
      </c>
      <c r="P21" s="468">
        <f t="shared" si="6"/>
        <v>753.75370699681434</v>
      </c>
      <c r="S21" s="403" t="s">
        <v>97</v>
      </c>
      <c r="T21" s="404" t="s">
        <v>98</v>
      </c>
      <c r="U21" s="405">
        <f>U8*Models!$F$15</f>
        <v>29.147487321428567</v>
      </c>
      <c r="V21" s="405">
        <f>V8*Models!$F$13</f>
        <v>33.807556249999998</v>
      </c>
      <c r="W21" s="405">
        <f>W8*Models!$F$11</f>
        <v>24.726210129310346</v>
      </c>
      <c r="X21" s="407">
        <f>X8*Models!$F$9</f>
        <v>12.719916249999999</v>
      </c>
      <c r="Y21"/>
      <c r="Z21"/>
      <c r="AA21" s="403" t="s">
        <v>99</v>
      </c>
      <c r="AB21" s="418" t="s">
        <v>98</v>
      </c>
      <c r="AC21" s="405">
        <f>AC20*6/7</f>
        <v>20.986190871428569</v>
      </c>
      <c r="AD21" s="405">
        <f>AD20*6/7</f>
        <v>27.123319414285714</v>
      </c>
      <c r="AE21" s="405">
        <f>AE20*6/7</f>
        <v>21.950819196428572</v>
      </c>
      <c r="AF21" s="407">
        <f>AF20*6/7</f>
        <v>17.522333609693877</v>
      </c>
    </row>
    <row r="22" spans="1:32" ht="15.75" thickBot="1" x14ac:dyDescent="0.3">
      <c r="A22" s="458" t="str">
        <f>Advancement!A18</f>
        <v>F12</v>
      </c>
      <c r="B22" s="459">
        <f>Advancement!B18</f>
        <v>52490.5</v>
      </c>
      <c r="C22" s="479">
        <f>Advancement!C18</f>
        <v>52511.5</v>
      </c>
      <c r="D22" s="460">
        <f>Advancement!D18</f>
        <v>21</v>
      </c>
      <c r="E22" s="480" t="str">
        <f>Advancement!E18</f>
        <v>F12</v>
      </c>
      <c r="F22" s="462">
        <f>Advancement!F18</f>
        <v>0</v>
      </c>
      <c r="G22" s="463">
        <f>Advancement!G18</f>
        <v>1</v>
      </c>
      <c r="H22" s="463">
        <f>Advancement!H18</f>
        <v>0</v>
      </c>
      <c r="I22" s="461">
        <f>Advancement!I18</f>
        <v>0</v>
      </c>
      <c r="J22" s="464">
        <f>Advancement!AF18</f>
        <v>1.745980318583263</v>
      </c>
      <c r="K22" s="465">
        <f t="shared" si="1"/>
        <v>0.48491379310344823</v>
      </c>
      <c r="L22" s="465">
        <f t="shared" si="2"/>
        <v>0.5022321428571429</v>
      </c>
      <c r="M22" s="466">
        <f t="shared" si="3"/>
        <v>0.59250000000000003</v>
      </c>
      <c r="N22" s="467">
        <f t="shared" si="4"/>
        <v>575.72195849836032</v>
      </c>
      <c r="O22" s="460">
        <f t="shared" si="5"/>
        <v>596.28345701615899</v>
      </c>
      <c r="P22" s="468">
        <f t="shared" si="6"/>
        <v>703.45547035719653</v>
      </c>
      <c r="S22" s="403" t="s">
        <v>99</v>
      </c>
      <c r="T22" s="404" t="s">
        <v>98</v>
      </c>
      <c r="U22" s="405">
        <f>U21*340/365</f>
        <v>27.151084080234831</v>
      </c>
      <c r="V22" s="405">
        <f>V21*340/365</f>
        <v>31.491970205479451</v>
      </c>
      <c r="W22" s="405">
        <f>W21*340/365</f>
        <v>23.03263409305621</v>
      </c>
      <c r="X22" s="407">
        <f>X21*340/365</f>
        <v>11.848689109589039</v>
      </c>
      <c r="Y22"/>
      <c r="Z22"/>
      <c r="AA22" s="414" t="s">
        <v>109</v>
      </c>
      <c r="AB22" s="421"/>
      <c r="AC22" s="416">
        <f>ROUND(AC20/Inputs!$J$6,0)</f>
        <v>16</v>
      </c>
      <c r="AD22" s="416">
        <f>ROUND(AD20/Inputs!$J$6,0)</f>
        <v>21</v>
      </c>
      <c r="AE22" s="416">
        <f>ROUND(AE20/Inputs!$J$6,0)</f>
        <v>17</v>
      </c>
      <c r="AF22" s="417">
        <f>ROUND(AF20/Inputs!$J$6,0)</f>
        <v>14</v>
      </c>
    </row>
    <row r="23" spans="1:32" ht="15.75" thickBot="1" x14ac:dyDescent="0.3">
      <c r="A23" s="483">
        <f>Advancement!A19</f>
        <v>31</v>
      </c>
      <c r="B23" s="484">
        <f>Advancement!B19</f>
        <v>52511.5</v>
      </c>
      <c r="C23" s="484">
        <f>Advancement!C19</f>
        <v>52622.5</v>
      </c>
      <c r="D23" s="485">
        <f>Advancement!D19</f>
        <v>111</v>
      </c>
      <c r="E23" s="486" t="str">
        <f>Advancement!E19</f>
        <v>GB-G-GA-6</v>
      </c>
      <c r="F23" s="487">
        <f>Advancement!F19</f>
        <v>0</v>
      </c>
      <c r="G23" s="488">
        <f>Advancement!G19</f>
        <v>0</v>
      </c>
      <c r="H23" s="488">
        <f>Advancement!H19</f>
        <v>0.5</v>
      </c>
      <c r="I23" s="486">
        <f>Advancement!I19</f>
        <v>0.5</v>
      </c>
      <c r="J23" s="489">
        <f>Advancement!AF19</f>
        <v>1.6463223185832632</v>
      </c>
      <c r="K23" s="490">
        <f t="shared" si="1"/>
        <v>0.66918498168498164</v>
      </c>
      <c r="L23" s="490">
        <f t="shared" si="2"/>
        <v>0.59250000000000003</v>
      </c>
      <c r="M23" s="491">
        <f t="shared" si="3"/>
        <v>0.67329545454545447</v>
      </c>
      <c r="N23" s="492">
        <f t="shared" si="4"/>
        <v>749.15203601392795</v>
      </c>
      <c r="O23" s="485">
        <f t="shared" si="5"/>
        <v>663.30326215719674</v>
      </c>
      <c r="P23" s="493">
        <f t="shared" si="6"/>
        <v>753.75370699681434</v>
      </c>
      <c r="S23" s="414" t="s">
        <v>110</v>
      </c>
      <c r="T23" s="415"/>
      <c r="U23" s="416">
        <f>ROUND(U21/Inputs!$J$6,0)</f>
        <v>19</v>
      </c>
      <c r="V23" s="416">
        <f>ROUND(V21/Inputs!$J$6,0)</f>
        <v>23</v>
      </c>
      <c r="W23" s="416">
        <f>ROUND(W21/Inputs!$J$6,0)</f>
        <v>16</v>
      </c>
      <c r="X23" s="417">
        <f>ROUND(X21/Inputs!$J$6,0)</f>
        <v>8</v>
      </c>
      <c r="Y23"/>
      <c r="Z23"/>
      <c r="AA23"/>
      <c r="AB23"/>
    </row>
    <row r="24" spans="1:32" ht="15.75" thickBot="1" x14ac:dyDescent="0.3">
      <c r="A24" s="494"/>
      <c r="B24" s="495"/>
      <c r="C24" s="495"/>
      <c r="D24" s="496">
        <f>Advancement!D20</f>
        <v>3504.5</v>
      </c>
      <c r="E24" s="494"/>
      <c r="F24" s="434"/>
      <c r="G24" s="434"/>
      <c r="H24" s="434"/>
      <c r="I24" s="434"/>
      <c r="J24" s="434"/>
      <c r="K24" s="434"/>
      <c r="L24" s="434"/>
      <c r="M24" s="434"/>
      <c r="N24" s="497">
        <f>MAX(N10:N23)</f>
        <v>789.46962157553003</v>
      </c>
      <c r="O24" s="498">
        <f t="shared" ref="O24:P24" si="10">MAX(O10:O23)</f>
        <v>695.24260222619262</v>
      </c>
      <c r="P24" s="499">
        <f t="shared" si="10"/>
        <v>790.04841162067351</v>
      </c>
      <c r="S24" s="424"/>
      <c r="T24" s="424"/>
      <c r="U24" s="424"/>
      <c r="V24" s="424"/>
      <c r="Y24"/>
      <c r="Z24"/>
      <c r="AA24"/>
      <c r="AB24"/>
    </row>
    <row r="25" spans="1:32" x14ac:dyDescent="0.25">
      <c r="S25" s="424"/>
      <c r="T25" s="424"/>
      <c r="U25" s="424"/>
      <c r="V25" s="424"/>
      <c r="Y25"/>
      <c r="Z25"/>
      <c r="AA25"/>
      <c r="AB25"/>
    </row>
    <row r="26" spans="1:32" x14ac:dyDescent="0.25">
      <c r="S26" s="607" t="s">
        <v>221</v>
      </c>
      <c r="T26" s="607"/>
      <c r="U26" s="607"/>
      <c r="V26" s="607"/>
      <c r="W26" s="607"/>
      <c r="X26" s="607"/>
      <c r="Y26"/>
      <c r="Z26"/>
      <c r="AA26"/>
      <c r="AB26"/>
    </row>
    <row r="27" spans="1:32" ht="15.75" thickBot="1" x14ac:dyDescent="0.3">
      <c r="S27" s="608"/>
      <c r="T27" s="608"/>
      <c r="U27" s="608"/>
      <c r="V27" s="608"/>
      <c r="W27" s="608"/>
      <c r="X27" s="608"/>
      <c r="Y27"/>
      <c r="Z27"/>
      <c r="AA27"/>
      <c r="AB27"/>
    </row>
    <row r="28" spans="1:32" ht="45.75" thickBot="1" x14ac:dyDescent="0.3">
      <c r="S28" s="422" t="s">
        <v>113</v>
      </c>
      <c r="T28" s="422" t="s">
        <v>86</v>
      </c>
      <c r="U28" s="423" t="s">
        <v>59</v>
      </c>
      <c r="V28" s="423" t="s">
        <v>28</v>
      </c>
      <c r="W28" s="423" t="s">
        <v>29</v>
      </c>
      <c r="X28" s="423" t="s">
        <v>30</v>
      </c>
      <c r="Y28"/>
      <c r="Z28"/>
      <c r="AA28"/>
      <c r="AB28"/>
    </row>
    <row r="29" spans="1:32" x14ac:dyDescent="0.25">
      <c r="S29" s="403" t="s">
        <v>87</v>
      </c>
      <c r="T29" s="418" t="s">
        <v>88</v>
      </c>
      <c r="U29" s="428">
        <f>(24-U32-U39)/(1+(5/60/1.5)+(5/60/1.5)+(1/6/1.5))</f>
        <v>16.159090909090907</v>
      </c>
      <c r="V29" s="428">
        <f>(24-V32-V39)/(1+(5/60/1.5)+(5/60/1.5)+(10/60/1.5))</f>
        <v>16.159090909090907</v>
      </c>
      <c r="W29" s="428">
        <f>(24-W32-W39)/(1+(30/60/1.5)+(5/60/1.5))</f>
        <v>14.22</v>
      </c>
      <c r="X29" s="428">
        <f>(24-X32-X39)/(1+(45/60/1.5)+(5/60/1.5))</f>
        <v>11.410714285714285</v>
      </c>
      <c r="Y29"/>
      <c r="Z29"/>
      <c r="AA29"/>
      <c r="AB29"/>
    </row>
    <row r="30" spans="1:32" x14ac:dyDescent="0.25">
      <c r="S30" s="403" t="s">
        <v>100</v>
      </c>
      <c r="T30" s="418" t="s">
        <v>88</v>
      </c>
      <c r="U30" s="405">
        <f>U29/1.5*1/12</f>
        <v>0.8977272727272726</v>
      </c>
      <c r="V30" s="405">
        <f>V29*1/12/1.5</f>
        <v>0.8977272727272726</v>
      </c>
      <c r="W30" s="405">
        <v>0</v>
      </c>
      <c r="X30" s="405">
        <v>0</v>
      </c>
      <c r="Y30"/>
      <c r="Z30"/>
      <c r="AA30"/>
      <c r="AB30"/>
    </row>
    <row r="31" spans="1:32" x14ac:dyDescent="0.25">
      <c r="S31" s="403" t="s">
        <v>89</v>
      </c>
      <c r="T31" s="418" t="s">
        <v>88</v>
      </c>
      <c r="U31" s="405">
        <f>U29*1/12/1.5</f>
        <v>0.8977272727272726</v>
      </c>
      <c r="V31" s="405">
        <f>V29*1/12/1.5</f>
        <v>0.8977272727272726</v>
      </c>
      <c r="W31" s="405">
        <f>W29*30/60/1.5</f>
        <v>4.74</v>
      </c>
      <c r="X31" s="405">
        <f>X29/1.5*3/4</f>
        <v>5.7053571428571423</v>
      </c>
      <c r="Y31"/>
      <c r="Z31"/>
      <c r="AA31"/>
      <c r="AB31"/>
    </row>
    <row r="32" spans="1:32" x14ac:dyDescent="0.25">
      <c r="S32" s="403" t="s">
        <v>90</v>
      </c>
      <c r="T32" s="418" t="s">
        <v>88</v>
      </c>
      <c r="U32" s="405">
        <v>4</v>
      </c>
      <c r="V32" s="405">
        <v>4</v>
      </c>
      <c r="W32" s="405">
        <v>4</v>
      </c>
      <c r="X32" s="405">
        <v>6</v>
      </c>
      <c r="Y32"/>
      <c r="Z32"/>
      <c r="AA32"/>
      <c r="AB32"/>
    </row>
    <row r="33" spans="19:28" x14ac:dyDescent="0.25">
      <c r="S33" s="403" t="s">
        <v>91</v>
      </c>
      <c r="T33" s="418" t="s">
        <v>88</v>
      </c>
      <c r="U33" s="405">
        <f>U29*1/6/1.5</f>
        <v>1.7954545454545452</v>
      </c>
      <c r="V33" s="405">
        <f>V29*1/6/1.5</f>
        <v>1.7954545454545452</v>
      </c>
      <c r="W33" s="405">
        <f>W29*1/12/1.5</f>
        <v>0.79</v>
      </c>
      <c r="X33" s="405">
        <f>X29*1/12/1.5</f>
        <v>0.6339285714285714</v>
      </c>
      <c r="Y33"/>
      <c r="Z33"/>
      <c r="AA33"/>
      <c r="AB33"/>
    </row>
    <row r="34" spans="19:28" x14ac:dyDescent="0.25">
      <c r="S34" s="403" t="s">
        <v>217</v>
      </c>
      <c r="T34" s="418" t="s">
        <v>88</v>
      </c>
      <c r="U34" s="405">
        <v>0</v>
      </c>
      <c r="V34" s="405">
        <v>0</v>
      </c>
      <c r="W34" s="405">
        <v>0</v>
      </c>
      <c r="X34" s="407">
        <v>0</v>
      </c>
      <c r="Y34"/>
      <c r="Z34"/>
      <c r="AA34"/>
      <c r="AB34"/>
    </row>
    <row r="35" spans="19:28" x14ac:dyDescent="0.25">
      <c r="S35" s="403" t="s">
        <v>218</v>
      </c>
      <c r="T35" s="418" t="s">
        <v>88</v>
      </c>
      <c r="U35" s="405">
        <v>0</v>
      </c>
      <c r="V35" s="405">
        <v>0</v>
      </c>
      <c r="W35" s="405">
        <v>0</v>
      </c>
      <c r="X35" s="405">
        <v>0</v>
      </c>
      <c r="Y35"/>
      <c r="Z35"/>
      <c r="AA35"/>
      <c r="AB35"/>
    </row>
    <row r="36" spans="19:28" x14ac:dyDescent="0.25">
      <c r="S36" s="403" t="s">
        <v>92</v>
      </c>
      <c r="T36" s="418" t="s">
        <v>88</v>
      </c>
      <c r="U36" s="405">
        <v>0</v>
      </c>
      <c r="V36" s="405">
        <v>0</v>
      </c>
      <c r="W36" s="405">
        <v>0</v>
      </c>
      <c r="X36" s="407">
        <v>0</v>
      </c>
      <c r="Y36"/>
      <c r="Z36"/>
      <c r="AA36"/>
      <c r="AB36"/>
    </row>
    <row r="37" spans="19:28" x14ac:dyDescent="0.25">
      <c r="S37" s="403" t="s">
        <v>160</v>
      </c>
      <c r="T37" s="418" t="s">
        <v>88</v>
      </c>
      <c r="U37" s="405">
        <v>0</v>
      </c>
      <c r="V37" s="405">
        <v>0</v>
      </c>
      <c r="W37" s="405">
        <v>0</v>
      </c>
      <c r="X37" s="405">
        <v>0</v>
      </c>
      <c r="Y37"/>
      <c r="Z37"/>
      <c r="AA37"/>
      <c r="AB37"/>
    </row>
    <row r="38" spans="19:28" x14ac:dyDescent="0.25">
      <c r="S38" s="403" t="s">
        <v>161</v>
      </c>
      <c r="T38" s="418" t="s">
        <v>88</v>
      </c>
      <c r="U38" s="405">
        <v>0</v>
      </c>
      <c r="V38" s="405">
        <v>0</v>
      </c>
      <c r="W38" s="405">
        <v>0</v>
      </c>
      <c r="X38" s="405">
        <v>0</v>
      </c>
      <c r="Y38"/>
      <c r="Z38"/>
      <c r="AA38"/>
      <c r="AB38"/>
    </row>
    <row r="39" spans="19:28" ht="15.75" thickBot="1" x14ac:dyDescent="0.3">
      <c r="S39" s="408" t="s">
        <v>93</v>
      </c>
      <c r="T39" s="419" t="s">
        <v>88</v>
      </c>
      <c r="U39" s="410">
        <f>15/60</f>
        <v>0.25</v>
      </c>
      <c r="V39" s="410">
        <f t="shared" ref="V39:X39" si="11">15/60</f>
        <v>0.25</v>
      </c>
      <c r="W39" s="410">
        <f t="shared" si="11"/>
        <v>0.25</v>
      </c>
      <c r="X39" s="410">
        <f t="shared" si="11"/>
        <v>0.25</v>
      </c>
      <c r="Y39"/>
      <c r="Z39"/>
      <c r="AA39"/>
      <c r="AB39"/>
    </row>
    <row r="40" spans="19:28" x14ac:dyDescent="0.25">
      <c r="S40" s="400" t="s">
        <v>94</v>
      </c>
      <c r="T40" s="420" t="s">
        <v>88</v>
      </c>
      <c r="U40" s="402">
        <f>SUM(U29:U39)</f>
        <v>24</v>
      </c>
      <c r="V40" s="402">
        <f>SUM(V29:V39)</f>
        <v>24</v>
      </c>
      <c r="W40" s="402">
        <f>SUM(W29:W39)</f>
        <v>24</v>
      </c>
      <c r="X40" s="402">
        <f>SUM(X29:X39)</f>
        <v>24</v>
      </c>
      <c r="Y40"/>
      <c r="Z40"/>
      <c r="AA40"/>
      <c r="AB40"/>
    </row>
    <row r="41" spans="19:28" x14ac:dyDescent="0.25">
      <c r="S41" s="403" t="s">
        <v>95</v>
      </c>
      <c r="T41" s="418" t="s">
        <v>96</v>
      </c>
      <c r="U41" s="412">
        <f>(U29+U30+U31)/U40</f>
        <v>0.74810606060606055</v>
      </c>
      <c r="V41" s="412">
        <f>(V29+V30+V31)/V40</f>
        <v>0.74810606060606055</v>
      </c>
      <c r="W41" s="412">
        <f>(W29+W31)/W40</f>
        <v>0.79</v>
      </c>
      <c r="X41" s="412">
        <f>(X29+X31)/X40</f>
        <v>0.71316964285714279</v>
      </c>
      <c r="Y41"/>
      <c r="Z41"/>
      <c r="AA41"/>
      <c r="AB41"/>
    </row>
    <row r="42" spans="19:28" x14ac:dyDescent="0.25">
      <c r="S42" s="403" t="s">
        <v>97</v>
      </c>
      <c r="T42" s="418" t="s">
        <v>98</v>
      </c>
      <c r="U42" s="405">
        <f>U29*Models!$F$15</f>
        <v>27.822601534090904</v>
      </c>
      <c r="V42" s="405">
        <f>V29*Models!$F$13</f>
        <v>35.958946193181809</v>
      </c>
      <c r="W42" s="405">
        <f>W29*Models!$F$11</f>
        <v>30.212131950000003</v>
      </c>
      <c r="X42" s="405">
        <f>X29*Models!$F$9</f>
        <v>20.442722544642855</v>
      </c>
      <c r="Y42"/>
      <c r="Z42"/>
      <c r="AA42"/>
      <c r="AB42"/>
    </row>
    <row r="43" spans="19:28" x14ac:dyDescent="0.25">
      <c r="S43" s="403" t="s">
        <v>99</v>
      </c>
      <c r="T43" s="418" t="s">
        <v>98</v>
      </c>
      <c r="U43" s="405">
        <f>U42*6/7</f>
        <v>23.847944172077916</v>
      </c>
      <c r="V43" s="405">
        <f>V42*6/7</f>
        <v>30.821953879870119</v>
      </c>
      <c r="W43" s="405">
        <f>W42*6/7</f>
        <v>25.896113100000004</v>
      </c>
      <c r="X43" s="405">
        <f>X42*6/7</f>
        <v>17.522333609693877</v>
      </c>
      <c r="Y43"/>
      <c r="Z43"/>
      <c r="AA43"/>
      <c r="AB43"/>
    </row>
    <row r="44" spans="19:28" ht="15.75" thickBot="1" x14ac:dyDescent="0.3">
      <c r="S44" s="414" t="s">
        <v>109</v>
      </c>
      <c r="T44" s="421"/>
      <c r="U44" s="416">
        <f>ROUND(U42/Inputs!$J$6,0)</f>
        <v>19</v>
      </c>
      <c r="V44" s="416">
        <f>ROUND(V42/Inputs!$J$6,0)</f>
        <v>24</v>
      </c>
      <c r="W44" s="416">
        <f>ROUND(W42/Inputs!$J$6,0)</f>
        <v>20</v>
      </c>
      <c r="X44" s="416">
        <f>ROUND(X42/Inputs!$J$6,0)</f>
        <v>14</v>
      </c>
      <c r="Y44"/>
      <c r="Z44"/>
      <c r="AA44"/>
      <c r="AB44"/>
    </row>
    <row r="49" spans="1:17" x14ac:dyDescent="0.25">
      <c r="A49" s="607" t="s">
        <v>223</v>
      </c>
      <c r="B49" s="607"/>
      <c r="C49" s="607"/>
      <c r="D49" s="607"/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/>
      <c r="Q49" s="607"/>
    </row>
    <row r="50" spans="1:17" ht="15.75" thickBot="1" x14ac:dyDescent="0.3">
      <c r="A50" s="607"/>
      <c r="B50" s="607"/>
      <c r="C50" s="607"/>
      <c r="D50" s="607"/>
      <c r="E50" s="607"/>
      <c r="F50" s="607"/>
      <c r="G50" s="607"/>
      <c r="H50" s="607"/>
      <c r="I50" s="607"/>
      <c r="J50" s="607"/>
      <c r="K50" s="607"/>
      <c r="L50" s="607"/>
      <c r="M50" s="607"/>
      <c r="N50" s="607"/>
      <c r="O50" s="607"/>
      <c r="P50" s="607"/>
      <c r="Q50" s="607"/>
    </row>
    <row r="51" spans="1:17" ht="15.75" thickBot="1" x14ac:dyDescent="0.3">
      <c r="A51" s="1"/>
      <c r="B51" s="429" t="s">
        <v>224</v>
      </c>
      <c r="C51" s="504" t="s">
        <v>228</v>
      </c>
      <c r="D51" s="1"/>
      <c r="E51" s="1"/>
      <c r="G51" s="504" t="s">
        <v>228</v>
      </c>
    </row>
    <row r="52" spans="1:17" ht="15.75" thickBot="1" x14ac:dyDescent="0.3">
      <c r="A52" s="1"/>
      <c r="B52" s="430" t="s">
        <v>64</v>
      </c>
      <c r="C52" s="505" t="s">
        <v>64</v>
      </c>
      <c r="D52" s="1"/>
      <c r="E52" s="1"/>
      <c r="G52" s="505" t="s">
        <v>64</v>
      </c>
    </row>
    <row r="53" spans="1:17" ht="15.75" thickBot="1" x14ac:dyDescent="0.3">
      <c r="A53" s="502" t="s">
        <v>60</v>
      </c>
      <c r="B53" s="507">
        <f>N24</f>
        <v>789.46962157553003</v>
      </c>
      <c r="C53" s="508">
        <f>Advancement!W42</f>
        <v>467.79412197272887</v>
      </c>
      <c r="D53" s="1"/>
      <c r="E53" s="1"/>
      <c r="F53" s="502" t="s">
        <v>1</v>
      </c>
      <c r="G53" s="508">
        <f>C53</f>
        <v>467.79412197272887</v>
      </c>
    </row>
    <row r="54" spans="1:17" ht="15.75" thickBot="1" x14ac:dyDescent="0.3">
      <c r="A54" s="503" t="s">
        <v>21</v>
      </c>
      <c r="B54" s="509">
        <f>O24</f>
        <v>695.24260222619262</v>
      </c>
      <c r="C54" s="510">
        <f>Advancement!Z42</f>
        <v>403.58751252709845</v>
      </c>
      <c r="D54" s="1"/>
      <c r="E54" s="1"/>
      <c r="F54" s="503" t="s">
        <v>21</v>
      </c>
      <c r="G54" s="510">
        <f>C54</f>
        <v>403.58751252709845</v>
      </c>
    </row>
    <row r="55" spans="1:17" ht="15.75" thickBot="1" x14ac:dyDescent="0.3">
      <c r="A55" s="503" t="s">
        <v>2</v>
      </c>
      <c r="B55" s="511">
        <f>P24</f>
        <v>790.04841162067351</v>
      </c>
      <c r="C55" s="512">
        <f>Advancement!AC42</f>
        <v>469.48980740524831</v>
      </c>
      <c r="D55" s="1"/>
      <c r="E55" s="1"/>
      <c r="F55" s="503" t="s">
        <v>2</v>
      </c>
      <c r="G55" s="512">
        <f>C55</f>
        <v>469.48980740524831</v>
      </c>
    </row>
    <row r="56" spans="1:17" x14ac:dyDescent="0.25">
      <c r="A56" s="1"/>
      <c r="B56" s="1"/>
      <c r="C56" s="1"/>
      <c r="D56" s="1"/>
      <c r="E56" s="1"/>
    </row>
    <row r="57" spans="1:17" ht="15.75" thickBot="1" x14ac:dyDescent="0.3">
      <c r="A57" s="1"/>
      <c r="B57" s="1"/>
      <c r="C57" s="1"/>
      <c r="D57" s="1"/>
      <c r="E57" s="1"/>
    </row>
    <row r="58" spans="1:17" ht="15.75" thickBot="1" x14ac:dyDescent="0.3">
      <c r="A58" s="1"/>
      <c r="B58" s="1"/>
      <c r="C58" s="440" t="s">
        <v>60</v>
      </c>
      <c r="D58" s="503" t="s">
        <v>21</v>
      </c>
      <c r="E58" s="506" t="s">
        <v>2</v>
      </c>
    </row>
    <row r="59" spans="1:17" ht="15.75" thickBot="1" x14ac:dyDescent="0.3">
      <c r="A59" s="168" t="s">
        <v>226</v>
      </c>
      <c r="B59" s="168" t="s">
        <v>229</v>
      </c>
      <c r="C59" s="168" t="s">
        <v>230</v>
      </c>
      <c r="D59" s="429" t="s">
        <v>230</v>
      </c>
      <c r="E59" s="504" t="s">
        <v>230</v>
      </c>
    </row>
    <row r="60" spans="1:17" ht="15.75" thickBot="1" x14ac:dyDescent="0.3">
      <c r="A60" s="501" t="s">
        <v>227</v>
      </c>
      <c r="B60" s="501" t="s">
        <v>227</v>
      </c>
      <c r="C60" s="501" t="s">
        <v>64</v>
      </c>
      <c r="D60" s="430" t="s">
        <v>64</v>
      </c>
      <c r="E60" s="505" t="s">
        <v>64</v>
      </c>
    </row>
    <row r="61" spans="1:17" x14ac:dyDescent="0.25">
      <c r="A61" s="25">
        <v>1</v>
      </c>
      <c r="B61" s="240">
        <f t="shared" ref="B61:B76" si="12">340/12-A61</f>
        <v>27.333333333333332</v>
      </c>
      <c r="C61" s="240">
        <f t="shared" ref="C61:C76" si="13">($C$53*340/12-$B$53*A61)/B61</f>
        <v>456.02550613360199</v>
      </c>
      <c r="D61" s="38">
        <f t="shared" ref="D61:D76" si="14">($C$54*340/12-$B$54*A61)/B61</f>
        <v>392.91720436737552</v>
      </c>
      <c r="E61" s="513">
        <f t="shared" ref="E61:E76" si="15">($C$55*340/12-$B$55*A61)/B61</f>
        <v>457.76205359248888</v>
      </c>
    </row>
    <row r="62" spans="1:17" x14ac:dyDescent="0.25">
      <c r="A62" s="40">
        <v>2</v>
      </c>
      <c r="B62" s="241">
        <f t="shared" si="12"/>
        <v>26.333333333333332</v>
      </c>
      <c r="C62" s="241">
        <f t="shared" si="13"/>
        <v>443.36307136998448</v>
      </c>
      <c r="D62" s="43">
        <f t="shared" si="14"/>
        <v>381.43649305628128</v>
      </c>
      <c r="E62" s="514">
        <f t="shared" si="15"/>
        <v>445.14358430027931</v>
      </c>
    </row>
    <row r="63" spans="1:17" x14ac:dyDescent="0.25">
      <c r="A63" s="40">
        <v>3</v>
      </c>
      <c r="B63" s="241">
        <f t="shared" si="12"/>
        <v>25.333333333333332</v>
      </c>
      <c r="C63" s="241">
        <f t="shared" si="13"/>
        <v>429.70097070397617</v>
      </c>
      <c r="D63" s="43">
        <f t="shared" si="14"/>
        <v>369.04940979957422</v>
      </c>
      <c r="E63" s="514">
        <f t="shared" si="15"/>
        <v>431.52892006394796</v>
      </c>
    </row>
    <row r="64" spans="1:17" x14ac:dyDescent="0.25">
      <c r="A64" s="40">
        <v>4</v>
      </c>
      <c r="B64" s="241">
        <f t="shared" si="12"/>
        <v>24.333333333333332</v>
      </c>
      <c r="C64" s="241">
        <f t="shared" si="13"/>
        <v>414.91595765446016</v>
      </c>
      <c r="D64" s="43">
        <f t="shared" si="14"/>
        <v>355.64421011080913</v>
      </c>
      <c r="E64" s="514">
        <f t="shared" si="15"/>
        <v>416.79524232874007</v>
      </c>
    </row>
    <row r="65" spans="1:10" x14ac:dyDescent="0.25">
      <c r="A65" s="40">
        <v>5</v>
      </c>
      <c r="B65" s="241">
        <f t="shared" si="12"/>
        <v>23.333333333333332</v>
      </c>
      <c r="C65" s="241">
        <f t="shared" si="13"/>
        <v>398.86365777212865</v>
      </c>
      <c r="D65" s="43">
        <f t="shared" si="14"/>
        <v>341.08999330586408</v>
      </c>
      <c r="E65" s="514">
        <f t="shared" si="15"/>
        <v>400.79867793051437</v>
      </c>
    </row>
    <row r="66" spans="1:10" x14ac:dyDescent="0.25">
      <c r="A66" s="40">
        <v>6</v>
      </c>
      <c r="B66" s="241">
        <f t="shared" si="12"/>
        <v>22.333333333333332</v>
      </c>
      <c r="C66" s="241">
        <f t="shared" si="13"/>
        <v>381.37383849734948</v>
      </c>
      <c r="D66" s="43">
        <f t="shared" si="14"/>
        <v>325.23241380196873</v>
      </c>
      <c r="E66" s="514">
        <f t="shared" si="15"/>
        <v>383.36958537722364</v>
      </c>
    </row>
    <row r="67" spans="1:10" x14ac:dyDescent="0.25">
      <c r="A67" s="40">
        <v>7</v>
      </c>
      <c r="B67" s="241">
        <f t="shared" si="12"/>
        <v>21.333333333333332</v>
      </c>
      <c r="C67" s="241">
        <f t="shared" si="13"/>
        <v>362.24434866555976</v>
      </c>
      <c r="D67" s="43">
        <f t="shared" si="14"/>
        <v>307.88818621958325</v>
      </c>
      <c r="E67" s="514">
        <f t="shared" si="15"/>
        <v>364.3065153970619</v>
      </c>
    </row>
    <row r="68" spans="1:10" x14ac:dyDescent="0.25">
      <c r="A68" s="40">
        <v>8</v>
      </c>
      <c r="B68" s="241">
        <f t="shared" si="12"/>
        <v>20.333333333333332</v>
      </c>
      <c r="C68" s="241">
        <f t="shared" si="13"/>
        <v>341.23326966998746</v>
      </c>
      <c r="D68" s="43">
        <f t="shared" si="14"/>
        <v>288.83796903893034</v>
      </c>
      <c r="E68" s="514">
        <f t="shared" si="15"/>
        <v>343.36838935327773</v>
      </c>
    </row>
    <row r="69" spans="1:10" x14ac:dyDescent="0.25">
      <c r="A69" s="40">
        <v>9</v>
      </c>
      <c r="B69" s="241">
        <f t="shared" si="12"/>
        <v>19.333333333333332</v>
      </c>
      <c r="C69" s="241">
        <f t="shared" si="13"/>
        <v>318.04863077832147</v>
      </c>
      <c r="D69" s="43">
        <f t="shared" si="14"/>
        <v>267.81703973614094</v>
      </c>
      <c r="E69" s="514">
        <f t="shared" si="15"/>
        <v>320.2642502704814</v>
      </c>
    </row>
    <row r="70" spans="1:10" x14ac:dyDescent="0.25">
      <c r="A70" s="40">
        <v>10</v>
      </c>
      <c r="B70" s="241">
        <f t="shared" si="12"/>
        <v>18.333333333333332</v>
      </c>
      <c r="C70" s="241">
        <f t="shared" si="13"/>
        <v>292.33475855301913</v>
      </c>
      <c r="D70" s="43">
        <f t="shared" si="14"/>
        <v>244.50291814577449</v>
      </c>
      <c r="E70" s="514">
        <f t="shared" si="15"/>
        <v>294.63965965138004</v>
      </c>
    </row>
    <row r="71" spans="1:10" x14ac:dyDescent="0.25">
      <c r="A71" s="40">
        <v>11</v>
      </c>
      <c r="B71" s="241">
        <f t="shared" si="12"/>
        <v>17.333333333333332</v>
      </c>
      <c r="C71" s="241">
        <f t="shared" si="13"/>
        <v>263.65390107095118</v>
      </c>
      <c r="D71" s="43">
        <f t="shared" si="14"/>
        <v>218.49870560267343</v>
      </c>
      <c r="E71" s="514">
        <f t="shared" si="15"/>
        <v>266.05838549930542</v>
      </c>
    </row>
    <row r="72" spans="1:10" x14ac:dyDescent="0.25">
      <c r="A72" s="40">
        <v>12</v>
      </c>
      <c r="B72" s="241">
        <f t="shared" si="12"/>
        <v>16.333333333333332</v>
      </c>
      <c r="C72" s="241">
        <f t="shared" si="13"/>
        <v>231.46110185638523</v>
      </c>
      <c r="D72" s="43">
        <f t="shared" si="14"/>
        <v>189.31030376858038</v>
      </c>
      <c r="E72" s="514">
        <f t="shared" si="15"/>
        <v>233.97736349187468</v>
      </c>
      <c r="G72" s="500"/>
      <c r="H72" s="500"/>
      <c r="I72" s="500"/>
      <c r="J72" s="500"/>
    </row>
    <row r="73" spans="1:10" x14ac:dyDescent="0.25">
      <c r="A73" s="40">
        <v>13</v>
      </c>
      <c r="B73" s="241">
        <f t="shared" si="12"/>
        <v>15.333333333333332</v>
      </c>
      <c r="C73" s="241">
        <f t="shared" si="13"/>
        <v>195.06924187470187</v>
      </c>
      <c r="D73" s="43">
        <f t="shared" si="14"/>
        <v>156.31471908656223</v>
      </c>
      <c r="E73" s="514">
        <f t="shared" si="15"/>
        <v>197.71186035303998</v>
      </c>
      <c r="G73" s="500"/>
      <c r="H73" s="500"/>
      <c r="I73" s="500"/>
      <c r="J73" s="500"/>
    </row>
    <row r="74" spans="1:10" x14ac:dyDescent="0.25">
      <c r="A74" s="40">
        <v>14</v>
      </c>
      <c r="B74" s="241">
        <f t="shared" si="12"/>
        <v>14.333333333333332</v>
      </c>
      <c r="C74" s="241">
        <f t="shared" si="13"/>
        <v>153.59944794208593</v>
      </c>
      <c r="D74" s="43">
        <f t="shared" si="14"/>
        <v>118.71509933263448</v>
      </c>
      <c r="E74" s="514">
        <f t="shared" si="15"/>
        <v>156.38605445064695</v>
      </c>
      <c r="G74" s="500"/>
      <c r="H74" s="500"/>
      <c r="I74" s="500"/>
      <c r="J74" s="500"/>
    </row>
    <row r="75" spans="1:10" x14ac:dyDescent="0.25">
      <c r="A75" s="40">
        <v>15</v>
      </c>
      <c r="B75" s="241">
        <f t="shared" si="12"/>
        <v>13.333333333333332</v>
      </c>
      <c r="C75" s="241">
        <f t="shared" si="13"/>
        <v>105.9091849195776</v>
      </c>
      <c r="D75" s="43">
        <f t="shared" si="14"/>
        <v>75.475536615617699</v>
      </c>
      <c r="E75" s="514">
        <f t="shared" si="15"/>
        <v>108.86137766289495</v>
      </c>
      <c r="G75" s="500"/>
      <c r="H75" s="500"/>
      <c r="I75" s="500"/>
      <c r="J75" s="500"/>
    </row>
    <row r="76" spans="1:10" ht="15.75" thickBot="1" x14ac:dyDescent="0.3">
      <c r="A76" s="45">
        <v>16</v>
      </c>
      <c r="B76" s="242">
        <f t="shared" si="12"/>
        <v>12.333333333333332</v>
      </c>
      <c r="C76" s="242">
        <f t="shared" si="13"/>
        <v>50.485365731257112</v>
      </c>
      <c r="D76" s="48">
        <f t="shared" si="14"/>
        <v>25.224152917462909</v>
      </c>
      <c r="E76" s="515">
        <f t="shared" si="15"/>
        <v>53.629996531183167</v>
      </c>
      <c r="G76" s="500"/>
      <c r="H76" s="500"/>
      <c r="I76" s="500"/>
      <c r="J76" s="500"/>
    </row>
    <row r="77" spans="1:10" x14ac:dyDescent="0.25">
      <c r="G77" s="500"/>
      <c r="H77" s="500"/>
      <c r="I77" s="500"/>
      <c r="J77" s="500"/>
    </row>
    <row r="78" spans="1:10" x14ac:dyDescent="0.25">
      <c r="G78" s="500"/>
      <c r="H78" s="500"/>
      <c r="I78" s="500"/>
      <c r="J78" s="500"/>
    </row>
    <row r="79" spans="1:10" x14ac:dyDescent="0.25">
      <c r="G79" s="500"/>
      <c r="H79" s="500"/>
      <c r="I79" s="500"/>
      <c r="J79" s="500"/>
    </row>
    <row r="80" spans="1:10" x14ac:dyDescent="0.25">
      <c r="G80" s="500"/>
      <c r="H80" s="500"/>
      <c r="I80" s="500"/>
      <c r="J80" s="500"/>
    </row>
    <row r="81" spans="7:10" x14ac:dyDescent="0.25">
      <c r="G81" s="500"/>
      <c r="H81" s="500"/>
      <c r="I81" s="500"/>
      <c r="J81" s="500"/>
    </row>
    <row r="82" spans="7:10" x14ac:dyDescent="0.25">
      <c r="G82" s="500"/>
      <c r="H82" s="500"/>
      <c r="I82" s="500"/>
      <c r="J82" s="500"/>
    </row>
    <row r="83" spans="7:10" x14ac:dyDescent="0.25">
      <c r="G83" s="500"/>
      <c r="H83" s="500"/>
      <c r="I83" s="500"/>
      <c r="J83" s="500"/>
    </row>
  </sheetData>
  <mergeCells count="28">
    <mergeCell ref="S4:X5"/>
    <mergeCell ref="A6:A9"/>
    <mergeCell ref="B6:B9"/>
    <mergeCell ref="C6:C9"/>
    <mergeCell ref="D6:D9"/>
    <mergeCell ref="E6:E9"/>
    <mergeCell ref="S6:S7"/>
    <mergeCell ref="T6:T7"/>
    <mergeCell ref="U6:U7"/>
    <mergeCell ref="V6:V7"/>
    <mergeCell ref="F6:I6"/>
    <mergeCell ref="F7:I7"/>
    <mergeCell ref="AA4:AF5"/>
    <mergeCell ref="S26:X27"/>
    <mergeCell ref="A49:Q50"/>
    <mergeCell ref="X6:X7"/>
    <mergeCell ref="AF6:AF7"/>
    <mergeCell ref="AE6:AE7"/>
    <mergeCell ref="AD6:AD7"/>
    <mergeCell ref="AC6:AC7"/>
    <mergeCell ref="AB6:AB7"/>
    <mergeCell ref="AA6:AA7"/>
    <mergeCell ref="W6:W7"/>
    <mergeCell ref="K7:M7"/>
    <mergeCell ref="K9:M9"/>
    <mergeCell ref="N7:P7"/>
    <mergeCell ref="N9:P9"/>
    <mergeCell ref="A4:Q5"/>
  </mergeCells>
  <pageMargins left="0.7" right="0.7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"/>
  <sheetViews>
    <sheetView zoomScale="85" zoomScaleNormal="85" workbookViewId="0">
      <selection activeCell="A28" sqref="A28:O29"/>
    </sheetView>
  </sheetViews>
  <sheetFormatPr defaultColWidth="11.42578125" defaultRowHeight="12" customHeight="1" x14ac:dyDescent="0.25"/>
  <cols>
    <col min="1" max="1" width="10.28515625" bestFit="1" customWidth="1"/>
    <col min="2" max="3" width="7.7109375" bestFit="1" customWidth="1"/>
    <col min="4" max="4" width="6.28515625" customWidth="1"/>
    <col min="5" max="5" width="10.42578125" customWidth="1"/>
    <col min="6" max="8" width="4.7109375" customWidth="1"/>
    <col min="9" max="9" width="5.85546875" bestFit="1" customWidth="1"/>
    <col min="10" max="21" width="5.5703125" customWidth="1"/>
    <col min="22" max="36" width="4.7109375" customWidth="1"/>
    <col min="37" max="37" width="1.7109375" customWidth="1"/>
    <col min="38" max="38" width="11.7109375" bestFit="1" customWidth="1"/>
    <col min="39" max="40" width="7.7109375" bestFit="1" customWidth="1"/>
    <col min="41" max="41" width="6.140625" bestFit="1" customWidth="1"/>
    <col min="42" max="42" width="10" customWidth="1"/>
    <col min="43" max="43" width="5.7109375" bestFit="1" customWidth="1"/>
    <col min="44" max="44" width="4.7109375" customWidth="1"/>
    <col min="45" max="45" width="7" customWidth="1"/>
    <col min="46" max="47" width="4.7109375" customWidth="1"/>
    <col min="48" max="48" width="6.5703125" customWidth="1"/>
    <col min="49" max="50" width="4.7109375" customWidth="1"/>
    <col min="51" max="51" width="5.85546875" customWidth="1"/>
    <col min="52" max="52" width="4.7109375" customWidth="1"/>
    <col min="53" max="53" width="9.5703125" bestFit="1" customWidth="1"/>
    <col min="54" max="60" width="4.7109375" customWidth="1"/>
    <col min="61" max="61" width="5.5703125" customWidth="1"/>
    <col min="62" max="67" width="4.7109375" customWidth="1"/>
  </cols>
  <sheetData>
    <row r="1" spans="1:67" ht="20.25" x14ac:dyDescent="0.3">
      <c r="N1" s="347" t="s">
        <v>211</v>
      </c>
      <c r="BB1" s="347" t="s">
        <v>215</v>
      </c>
    </row>
    <row r="2" spans="1:67" ht="12" customHeight="1" x14ac:dyDescent="0.3">
      <c r="N2" s="347"/>
      <c r="BB2" s="347"/>
    </row>
    <row r="3" spans="1:67" ht="12" customHeight="1" x14ac:dyDescent="0.3">
      <c r="BB3" s="347"/>
    </row>
    <row r="4" spans="1:67" ht="12" customHeight="1" x14ac:dyDescent="0.3">
      <c r="A4" s="607" t="s">
        <v>214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BB4" s="347"/>
    </row>
    <row r="5" spans="1:67" ht="12" customHeight="1" thickBot="1" x14ac:dyDescent="0.3">
      <c r="A5" s="607"/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</row>
    <row r="6" spans="1:67" ht="12" customHeight="1" thickBot="1" x14ac:dyDescent="0.3">
      <c r="A6" s="577" t="s">
        <v>0</v>
      </c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  <c r="O6" s="579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</row>
    <row r="7" spans="1:67" ht="12" customHeight="1" thickBot="1" x14ac:dyDescent="0.3">
      <c r="A7" s="543" t="s">
        <v>3</v>
      </c>
      <c r="B7" s="546" t="s">
        <v>19</v>
      </c>
      <c r="C7" s="546" t="s">
        <v>20</v>
      </c>
      <c r="D7" s="549" t="s">
        <v>4</v>
      </c>
      <c r="E7" s="552" t="s">
        <v>104</v>
      </c>
      <c r="F7" s="580" t="s">
        <v>5</v>
      </c>
      <c r="G7" s="581"/>
      <c r="H7" s="581"/>
      <c r="I7" s="582"/>
      <c r="J7" s="580" t="s">
        <v>5</v>
      </c>
      <c r="K7" s="581"/>
      <c r="L7" s="582"/>
      <c r="M7" s="574" t="s">
        <v>32</v>
      </c>
      <c r="N7" s="575"/>
      <c r="O7" s="575"/>
      <c r="P7" s="533" t="s">
        <v>34</v>
      </c>
      <c r="Q7" s="534"/>
      <c r="R7" s="535"/>
      <c r="S7" s="533" t="s">
        <v>74</v>
      </c>
      <c r="T7" s="534"/>
      <c r="U7" s="535"/>
      <c r="V7" s="533" t="s">
        <v>75</v>
      </c>
      <c r="W7" s="534"/>
      <c r="X7" s="535"/>
      <c r="Y7" s="533" t="s">
        <v>76</v>
      </c>
      <c r="Z7" s="534"/>
      <c r="AA7" s="535"/>
      <c r="AB7" s="533" t="s">
        <v>77</v>
      </c>
      <c r="AC7" s="534"/>
      <c r="AD7" s="535"/>
      <c r="AE7" s="533" t="s">
        <v>46</v>
      </c>
      <c r="AF7" s="534"/>
      <c r="AG7" s="53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</row>
    <row r="8" spans="1:67" ht="12" customHeight="1" thickBot="1" x14ac:dyDescent="0.3">
      <c r="A8" s="543"/>
      <c r="B8" s="546"/>
      <c r="C8" s="546"/>
      <c r="D8" s="549"/>
      <c r="E8" s="552"/>
      <c r="F8" s="583" t="s">
        <v>26</v>
      </c>
      <c r="G8" s="584"/>
      <c r="H8" s="584"/>
      <c r="I8" s="585"/>
      <c r="J8" s="589" t="s">
        <v>27</v>
      </c>
      <c r="K8" s="590"/>
      <c r="L8" s="591"/>
      <c r="M8" s="589" t="s">
        <v>27</v>
      </c>
      <c r="N8" s="590"/>
      <c r="O8" s="590"/>
      <c r="P8" s="541" t="s">
        <v>39</v>
      </c>
      <c r="Q8" s="539"/>
      <c r="R8" s="540"/>
      <c r="S8" s="541" t="s">
        <v>39</v>
      </c>
      <c r="T8" s="539"/>
      <c r="U8" s="540"/>
      <c r="V8" s="541" t="s">
        <v>39</v>
      </c>
      <c r="W8" s="539"/>
      <c r="X8" s="540"/>
      <c r="Y8" s="541" t="s">
        <v>39</v>
      </c>
      <c r="Z8" s="539"/>
      <c r="AA8" s="540"/>
      <c r="AB8" s="541" t="s">
        <v>39</v>
      </c>
      <c r="AC8" s="539"/>
      <c r="AD8" s="540"/>
      <c r="AE8" s="541" t="s">
        <v>39</v>
      </c>
      <c r="AF8" s="539"/>
      <c r="AG8" s="540"/>
      <c r="AH8" s="574" t="s">
        <v>63</v>
      </c>
      <c r="AI8" s="575"/>
      <c r="AJ8" s="576"/>
      <c r="AK8" s="95"/>
      <c r="AL8" s="542" t="s">
        <v>3</v>
      </c>
      <c r="AM8" s="545" t="s">
        <v>19</v>
      </c>
      <c r="AN8" s="545" t="s">
        <v>20</v>
      </c>
      <c r="AO8" s="548" t="s">
        <v>4</v>
      </c>
      <c r="AP8" s="598" t="s">
        <v>104</v>
      </c>
      <c r="AQ8" s="601" t="s">
        <v>85</v>
      </c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</row>
    <row r="9" spans="1:67" ht="12" customHeight="1" thickBot="1" x14ac:dyDescent="0.3">
      <c r="A9" s="543"/>
      <c r="B9" s="546"/>
      <c r="C9" s="546"/>
      <c r="D9" s="549"/>
      <c r="E9" s="552"/>
      <c r="F9" s="96" t="s">
        <v>6</v>
      </c>
      <c r="G9" s="97" t="s">
        <v>7</v>
      </c>
      <c r="H9" s="97" t="s">
        <v>8</v>
      </c>
      <c r="I9" s="98" t="s">
        <v>9</v>
      </c>
      <c r="J9" s="99" t="s">
        <v>37</v>
      </c>
      <c r="K9" s="100" t="s">
        <v>23</v>
      </c>
      <c r="L9" s="101" t="s">
        <v>38</v>
      </c>
      <c r="M9" s="99" t="s">
        <v>37</v>
      </c>
      <c r="N9" s="100" t="s">
        <v>23</v>
      </c>
      <c r="O9" s="102" t="s">
        <v>38</v>
      </c>
      <c r="P9" s="103" t="s">
        <v>80</v>
      </c>
      <c r="Q9" s="104" t="s">
        <v>81</v>
      </c>
      <c r="R9" s="105" t="s">
        <v>82</v>
      </c>
      <c r="S9" s="103" t="s">
        <v>80</v>
      </c>
      <c r="T9" s="104" t="s">
        <v>81</v>
      </c>
      <c r="U9" s="105" t="s">
        <v>82</v>
      </c>
      <c r="V9" s="103" t="s">
        <v>80</v>
      </c>
      <c r="W9" s="104" t="s">
        <v>81</v>
      </c>
      <c r="X9" s="105" t="s">
        <v>82</v>
      </c>
      <c r="Y9" s="103" t="s">
        <v>80</v>
      </c>
      <c r="Z9" s="104" t="s">
        <v>81</v>
      </c>
      <c r="AA9" s="105" t="s">
        <v>82</v>
      </c>
      <c r="AB9" s="103" t="s">
        <v>80</v>
      </c>
      <c r="AC9" s="104" t="s">
        <v>81</v>
      </c>
      <c r="AD9" s="105" t="s">
        <v>82</v>
      </c>
      <c r="AE9" s="103" t="s">
        <v>80</v>
      </c>
      <c r="AF9" s="104" t="s">
        <v>81</v>
      </c>
      <c r="AG9" s="105" t="s">
        <v>82</v>
      </c>
      <c r="AH9" s="171" t="s">
        <v>37</v>
      </c>
      <c r="AI9" s="173" t="s">
        <v>23</v>
      </c>
      <c r="AJ9" s="352" t="s">
        <v>38</v>
      </c>
      <c r="AK9" s="95"/>
      <c r="AL9" s="543"/>
      <c r="AM9" s="546"/>
      <c r="AN9" s="546"/>
      <c r="AO9" s="549"/>
      <c r="AP9" s="599"/>
      <c r="AQ9" s="602"/>
      <c r="AR9" s="533" t="s">
        <v>1</v>
      </c>
      <c r="AS9" s="534"/>
      <c r="AT9" s="535"/>
      <c r="AU9" s="533" t="s">
        <v>21</v>
      </c>
      <c r="AV9" s="534"/>
      <c r="AW9" s="535"/>
      <c r="AX9" s="533" t="s">
        <v>2</v>
      </c>
      <c r="AY9" s="534"/>
      <c r="AZ9" s="535"/>
      <c r="BA9" s="336" t="s">
        <v>130</v>
      </c>
      <c r="BB9" s="95"/>
      <c r="BC9" s="95"/>
      <c r="BD9" s="95"/>
      <c r="BE9" s="95"/>
      <c r="BF9" s="95"/>
      <c r="BG9" s="95"/>
      <c r="BH9" s="95"/>
      <c r="BI9" s="95"/>
      <c r="BJ9" s="95"/>
      <c r="BK9" s="295" t="s">
        <v>123</v>
      </c>
      <c r="BL9" s="302" t="s">
        <v>124</v>
      </c>
      <c r="BM9" s="308" t="s">
        <v>125</v>
      </c>
      <c r="BN9" s="95"/>
      <c r="BO9" s="95"/>
    </row>
    <row r="10" spans="1:67" ht="12" customHeight="1" thickBot="1" x14ac:dyDescent="0.3">
      <c r="A10" s="543"/>
      <c r="B10" s="546"/>
      <c r="C10" s="546"/>
      <c r="D10" s="549"/>
      <c r="E10" s="553"/>
      <c r="F10" s="106" t="s">
        <v>44</v>
      </c>
      <c r="G10" s="107" t="s">
        <v>10</v>
      </c>
      <c r="H10" s="107" t="s">
        <v>11</v>
      </c>
      <c r="I10" s="108" t="s">
        <v>12</v>
      </c>
      <c r="J10" s="592" t="s">
        <v>33</v>
      </c>
      <c r="K10" s="593"/>
      <c r="L10" s="594"/>
      <c r="M10" s="592" t="s">
        <v>31</v>
      </c>
      <c r="N10" s="593"/>
      <c r="O10" s="593"/>
      <c r="P10" s="595" t="s">
        <v>40</v>
      </c>
      <c r="Q10" s="596"/>
      <c r="R10" s="597"/>
      <c r="S10" s="595" t="s">
        <v>40</v>
      </c>
      <c r="T10" s="596"/>
      <c r="U10" s="597"/>
      <c r="V10" s="574" t="s">
        <v>40</v>
      </c>
      <c r="W10" s="575"/>
      <c r="X10" s="576"/>
      <c r="Y10" s="574" t="s">
        <v>40</v>
      </c>
      <c r="Z10" s="575"/>
      <c r="AA10" s="576"/>
      <c r="AB10" s="574" t="s">
        <v>40</v>
      </c>
      <c r="AC10" s="575"/>
      <c r="AD10" s="576"/>
      <c r="AE10" s="574" t="s">
        <v>40</v>
      </c>
      <c r="AF10" s="575"/>
      <c r="AG10" s="576"/>
      <c r="AH10" s="574" t="s">
        <v>62</v>
      </c>
      <c r="AI10" s="575"/>
      <c r="AJ10" s="576"/>
      <c r="AK10" s="95"/>
      <c r="AL10" s="543"/>
      <c r="AM10" s="546"/>
      <c r="AN10" s="546"/>
      <c r="AO10" s="549"/>
      <c r="AP10" s="599"/>
      <c r="AQ10" s="602"/>
      <c r="AR10" s="638" t="s">
        <v>63</v>
      </c>
      <c r="AS10" s="639"/>
      <c r="AT10" s="640"/>
      <c r="AU10" s="638" t="s">
        <v>63</v>
      </c>
      <c r="AV10" s="639"/>
      <c r="AW10" s="640"/>
      <c r="AX10" s="638" t="s">
        <v>63</v>
      </c>
      <c r="AY10" s="639"/>
      <c r="AZ10" s="640"/>
      <c r="BA10" s="337" t="s">
        <v>63</v>
      </c>
      <c r="BB10" s="95"/>
      <c r="BC10" s="95"/>
      <c r="BD10" s="95"/>
      <c r="BE10" s="95"/>
      <c r="BF10" s="95"/>
      <c r="BG10" s="95"/>
      <c r="BH10" s="95"/>
      <c r="BI10" s="95"/>
      <c r="BJ10" s="95"/>
      <c r="BK10" s="296" t="s">
        <v>62</v>
      </c>
      <c r="BL10" s="303" t="s">
        <v>62</v>
      </c>
      <c r="BM10" s="309" t="s">
        <v>62</v>
      </c>
      <c r="BN10" s="95"/>
      <c r="BO10" s="95"/>
    </row>
    <row r="11" spans="1:67" ht="15.75" thickBot="1" x14ac:dyDescent="0.3">
      <c r="A11" s="109">
        <f>Advancement!A6</f>
        <v>26</v>
      </c>
      <c r="B11" s="110">
        <f>Advancement!B6</f>
        <v>49118</v>
      </c>
      <c r="C11" s="110">
        <f>Advancement!C6</f>
        <v>50323</v>
      </c>
      <c r="D11" s="111">
        <f>Advancement!D6</f>
        <v>1205</v>
      </c>
      <c r="E11" s="112" t="str">
        <f>Advancement!E6</f>
        <v>GB-G-GA-1</v>
      </c>
      <c r="F11" s="113">
        <f>Advancement!F6</f>
        <v>0</v>
      </c>
      <c r="G11" s="114">
        <f>Advancement!G6</f>
        <v>0</v>
      </c>
      <c r="H11" s="114">
        <f>Advancement!H6</f>
        <v>0.15</v>
      </c>
      <c r="I11" s="115">
        <f>Advancement!I6</f>
        <v>0.85</v>
      </c>
      <c r="J11" s="116">
        <f>Advancement!J6</f>
        <v>62</v>
      </c>
      <c r="K11" s="117">
        <f>Advancement!K6</f>
        <v>73</v>
      </c>
      <c r="L11" s="118">
        <f>Advancement!L6</f>
        <v>84</v>
      </c>
      <c r="M11" s="116">
        <f>Advancement!M6</f>
        <v>96</v>
      </c>
      <c r="N11" s="117">
        <f>Advancement!N6</f>
        <v>115</v>
      </c>
      <c r="O11" s="119">
        <f>Advancement!O6</f>
        <v>134</v>
      </c>
      <c r="P11" s="120">
        <f>Advancement!P6</f>
        <v>1.7942857142857143</v>
      </c>
      <c r="Q11" s="121">
        <f>Advancement!Q6</f>
        <v>1.6</v>
      </c>
      <c r="R11" s="122">
        <f>Advancement!R6</f>
        <v>1.6</v>
      </c>
      <c r="S11" s="123">
        <f>Advancement!S6</f>
        <v>1.6</v>
      </c>
      <c r="T11" s="121">
        <f>Advancement!T6</f>
        <v>1.1852010000000002</v>
      </c>
      <c r="U11" s="124">
        <f>Advancement!U6</f>
        <v>1.1352280000000001</v>
      </c>
      <c r="V11" s="120">
        <f>Advancement!V6</f>
        <v>1.7465459646898465</v>
      </c>
      <c r="W11" s="121">
        <f>Advancement!W6</f>
        <v>1.5019505929163148</v>
      </c>
      <c r="X11" s="124">
        <f>Advancement!X6</f>
        <v>1.2839939895479764</v>
      </c>
      <c r="Y11" s="120">
        <f>Advancement!Y6</f>
        <v>1.2429620000000001</v>
      </c>
      <c r="Z11" s="121">
        <f>Advancement!Z6</f>
        <v>1.1971263750000001</v>
      </c>
      <c r="AA11" s="124">
        <f>Advancement!AA6</f>
        <v>1.1513808888888888</v>
      </c>
      <c r="AB11" s="120">
        <f>Advancement!AB6</f>
        <v>2.2971428571428572</v>
      </c>
      <c r="AC11" s="121">
        <f>Advancement!AC6</f>
        <v>2.1850000000000001</v>
      </c>
      <c r="AD11" s="124">
        <f>Advancement!AD6</f>
        <v>1.7822222222222222</v>
      </c>
      <c r="AE11" s="120">
        <f>Advancement!AE6</f>
        <v>1.7361873072236835</v>
      </c>
      <c r="AF11" s="121">
        <f>Advancement!AF6</f>
        <v>1.533855593583263</v>
      </c>
      <c r="AG11" s="122">
        <f>Advancement!AG6</f>
        <v>1.3905650201318174</v>
      </c>
      <c r="AH11" s="120">
        <f>$D11/AE11/24/(340/12)</f>
        <v>1.0206610865984789</v>
      </c>
      <c r="AI11" s="353">
        <f t="shared" ref="AI11:AJ24" si="0">$D11/AF11/24/(340/12)</f>
        <v>1.1552970377020164</v>
      </c>
      <c r="AJ11" s="122">
        <f t="shared" si="0"/>
        <v>1.2743444555806756</v>
      </c>
      <c r="AK11" s="95"/>
      <c r="AL11" s="544"/>
      <c r="AM11" s="547"/>
      <c r="AN11" s="547"/>
      <c r="AO11" s="550"/>
      <c r="AP11" s="600"/>
      <c r="AQ11" s="603"/>
      <c r="AR11" s="214" t="s">
        <v>65</v>
      </c>
      <c r="AS11" s="215" t="s">
        <v>66</v>
      </c>
      <c r="AT11" s="216" t="s">
        <v>67</v>
      </c>
      <c r="AU11" s="217" t="s">
        <v>65</v>
      </c>
      <c r="AV11" s="215" t="s">
        <v>66</v>
      </c>
      <c r="AW11" s="216" t="s">
        <v>67</v>
      </c>
      <c r="AX11" s="217" t="s">
        <v>65</v>
      </c>
      <c r="AY11" s="215" t="s">
        <v>66</v>
      </c>
      <c r="AZ11" s="331" t="s">
        <v>67</v>
      </c>
      <c r="BA11" s="338" t="s">
        <v>66</v>
      </c>
      <c r="BB11" s="95"/>
      <c r="BC11" s="95"/>
      <c r="BD11" s="95"/>
      <c r="BE11" s="95"/>
      <c r="BF11" s="95"/>
      <c r="BG11" s="95"/>
      <c r="BH11" s="95"/>
      <c r="BI11" s="638" t="s">
        <v>117</v>
      </c>
      <c r="BJ11" s="640"/>
      <c r="BK11" s="297">
        <v>2</v>
      </c>
      <c r="BL11" s="304">
        <v>2.2000000000000002</v>
      </c>
      <c r="BM11" s="310">
        <v>2.5</v>
      </c>
      <c r="BN11" s="95"/>
      <c r="BO11" s="95"/>
    </row>
    <row r="12" spans="1:67" ht="15" x14ac:dyDescent="0.25">
      <c r="A12" s="125">
        <f>Advancement!A7</f>
        <v>27</v>
      </c>
      <c r="B12" s="126">
        <f>Advancement!B7</f>
        <v>50323</v>
      </c>
      <c r="C12" s="126">
        <f>Advancement!C7</f>
        <v>50395</v>
      </c>
      <c r="D12" s="127">
        <f>Advancement!D7</f>
        <v>72</v>
      </c>
      <c r="E12" s="128" t="str">
        <f>Advancement!E7</f>
        <v>GB-G-GA-2</v>
      </c>
      <c r="F12" s="129">
        <f>Advancement!F7</f>
        <v>0</v>
      </c>
      <c r="G12" s="130">
        <f>Advancement!G7</f>
        <v>0.2</v>
      </c>
      <c r="H12" s="130">
        <f>Advancement!H7</f>
        <v>0.55000000000000004</v>
      </c>
      <c r="I12" s="131">
        <f>Advancement!I7</f>
        <v>0.25</v>
      </c>
      <c r="J12" s="132">
        <f>Advancement!J7</f>
        <v>38</v>
      </c>
      <c r="K12" s="133">
        <f>Advancement!K7</f>
        <v>52</v>
      </c>
      <c r="L12" s="134">
        <f>Advancement!L7</f>
        <v>66</v>
      </c>
      <c r="M12" s="132">
        <f>Advancement!M7</f>
        <v>71</v>
      </c>
      <c r="N12" s="133">
        <f>Advancement!N7</f>
        <v>89</v>
      </c>
      <c r="O12" s="135">
        <f>Advancement!O7</f>
        <v>107</v>
      </c>
      <c r="P12" s="136">
        <f>Advancement!P7</f>
        <v>2.1800000000000002</v>
      </c>
      <c r="Q12" s="137">
        <f>Advancement!Q7</f>
        <v>1.9933333333333334</v>
      </c>
      <c r="R12" s="138">
        <f>Advancement!R7</f>
        <v>1.7828571428571429</v>
      </c>
      <c r="S12" s="139">
        <f>Advancement!S7</f>
        <v>1.344206</v>
      </c>
      <c r="T12" s="137">
        <f>Advancement!T7</f>
        <v>1.2806040000000001</v>
      </c>
      <c r="U12" s="140">
        <f>Advancement!U7</f>
        <v>1.2170020000000001</v>
      </c>
      <c r="V12" s="136">
        <f>Advancement!V7</f>
        <v>2.2395532124849598</v>
      </c>
      <c r="W12" s="137">
        <f>Advancement!W7</f>
        <v>1.9106049861511967</v>
      </c>
      <c r="X12" s="140">
        <f>Advancement!X7</f>
        <v>1.6267453183928344</v>
      </c>
      <c r="Y12" s="136">
        <f>Advancement!Y7</f>
        <v>1.3714640000000002</v>
      </c>
      <c r="Z12" s="137">
        <f>Advancement!Z7</f>
        <v>1.2881756666666668</v>
      </c>
      <c r="AA12" s="140">
        <f>Advancement!AA7</f>
        <v>1.2403660000000001</v>
      </c>
      <c r="AB12" s="136">
        <f>Advancement!AB7</f>
        <v>1.86</v>
      </c>
      <c r="AC12" s="137">
        <f>Advancement!AC7</f>
        <v>2.2999999999999998</v>
      </c>
      <c r="AD12" s="140">
        <f>Advancement!AD7</f>
        <v>2.2914285714285714</v>
      </c>
      <c r="AE12" s="136">
        <f>Advancement!AE7</f>
        <v>1.7990446424969921</v>
      </c>
      <c r="AF12" s="137">
        <f>Advancement!AF7</f>
        <v>1.7545435972302392</v>
      </c>
      <c r="AG12" s="138">
        <f>Advancement!AG7</f>
        <v>1.6316798065357099</v>
      </c>
      <c r="AH12" s="285">
        <f t="shared" ref="AH12:AH24" si="1">$D12/AE12/24/(340/12)</f>
        <v>5.885476682458339E-2</v>
      </c>
      <c r="AI12" s="137">
        <f t="shared" si="0"/>
        <v>6.0347518926474483E-2</v>
      </c>
      <c r="AJ12" s="138">
        <f t="shared" si="0"/>
        <v>6.4891624273992754E-2</v>
      </c>
      <c r="AK12" s="95"/>
      <c r="AL12" s="320"/>
      <c r="AM12" s="321"/>
      <c r="AN12" s="110">
        <f>Advancement!C139</f>
        <v>49118</v>
      </c>
      <c r="AO12" s="322"/>
      <c r="AP12" s="323"/>
      <c r="AQ12" s="286"/>
      <c r="AR12" s="120">
        <f>Advancement!G139</f>
        <v>0</v>
      </c>
      <c r="AS12" s="123">
        <f>Advancement!H139</f>
        <v>0</v>
      </c>
      <c r="AT12" s="219">
        <f>Advancement!I139</f>
        <v>0</v>
      </c>
      <c r="AU12" s="284">
        <f>Advancement!J139</f>
        <v>0</v>
      </c>
      <c r="AV12" s="121">
        <f>Advancement!K139</f>
        <v>0</v>
      </c>
      <c r="AW12" s="219">
        <f>Advancement!L139</f>
        <v>0</v>
      </c>
      <c r="AX12" s="284">
        <f>Advancement!M139</f>
        <v>0</v>
      </c>
      <c r="AY12" s="121">
        <f>Advancement!N139</f>
        <v>0</v>
      </c>
      <c r="AZ12" s="332">
        <f>Advancement!O139</f>
        <v>0</v>
      </c>
      <c r="BA12" s="335">
        <f>Advancement!P139</f>
        <v>0</v>
      </c>
      <c r="BB12" s="95"/>
      <c r="BC12" s="95"/>
      <c r="BD12" s="95"/>
      <c r="BE12" s="95"/>
      <c r="BF12" s="95"/>
      <c r="BG12" s="95"/>
      <c r="BH12" s="95"/>
      <c r="BI12" s="647" t="s">
        <v>122</v>
      </c>
      <c r="BJ12" s="648"/>
      <c r="BK12" s="298">
        <v>1</v>
      </c>
      <c r="BL12" s="305">
        <v>1</v>
      </c>
      <c r="BM12" s="311">
        <v>1</v>
      </c>
      <c r="BN12" s="95"/>
      <c r="BO12" s="95"/>
    </row>
    <row r="13" spans="1:67" ht="15.75" thickBot="1" x14ac:dyDescent="0.3">
      <c r="A13" s="125">
        <f>Advancement!A8</f>
        <v>28</v>
      </c>
      <c r="B13" s="126">
        <f>Advancement!B8</f>
        <v>50395</v>
      </c>
      <c r="C13" s="126">
        <f>Advancement!C8</f>
        <v>51494.5</v>
      </c>
      <c r="D13" s="127">
        <f>Advancement!D8</f>
        <v>1099.5</v>
      </c>
      <c r="E13" s="128" t="str">
        <f>Advancement!E8</f>
        <v>GB-G-GA-3</v>
      </c>
      <c r="F13" s="129">
        <f>Advancement!F8</f>
        <v>0</v>
      </c>
      <c r="G13" s="130">
        <f>Advancement!G8</f>
        <v>0</v>
      </c>
      <c r="H13" s="130">
        <f>Advancement!H8</f>
        <v>0.25</v>
      </c>
      <c r="I13" s="131">
        <f>Advancement!I8</f>
        <v>0.75</v>
      </c>
      <c r="J13" s="132">
        <f>Advancement!J8</f>
        <v>59</v>
      </c>
      <c r="K13" s="133">
        <f>Advancement!K8</f>
        <v>72</v>
      </c>
      <c r="L13" s="134">
        <f>Advancement!L8</f>
        <v>85</v>
      </c>
      <c r="M13" s="132">
        <f>Advancement!M8</f>
        <v>104</v>
      </c>
      <c r="N13" s="133">
        <f>Advancement!N8</f>
        <v>131</v>
      </c>
      <c r="O13" s="135">
        <f>Advancement!O8</f>
        <v>158</v>
      </c>
      <c r="P13" s="136">
        <f>Advancement!P8</f>
        <v>1.97</v>
      </c>
      <c r="Q13" s="137">
        <f>Advancement!Q8</f>
        <v>1.6</v>
      </c>
      <c r="R13" s="138">
        <f>Advancement!R8</f>
        <v>1.6</v>
      </c>
      <c r="S13" s="139">
        <f>Advancement!S8</f>
        <v>1.2488030000000001</v>
      </c>
      <c r="T13" s="137">
        <f>Advancement!T8</f>
        <v>1.1897440000000001</v>
      </c>
      <c r="U13" s="140">
        <f>Advancement!U8</f>
        <v>1.1306850000000002</v>
      </c>
      <c r="V13" s="136">
        <f>Advancement!V8</f>
        <v>1.722416397350901</v>
      </c>
      <c r="W13" s="137">
        <f>Advancement!W8</f>
        <v>1.4284561885502056</v>
      </c>
      <c r="X13" s="140">
        <f>Advancement!X8</f>
        <v>1.1740890178496297</v>
      </c>
      <c r="Y13" s="136">
        <f>Advancement!Y8</f>
        <v>1.2828755000000003</v>
      </c>
      <c r="Z13" s="137">
        <f>Advancement!Z8</f>
        <v>1.1976942500000001</v>
      </c>
      <c r="AA13" s="140">
        <f>Advancement!AA8</f>
        <v>1.1508761111111112</v>
      </c>
      <c r="AB13" s="136">
        <f>Advancement!AB8</f>
        <v>2.2999999999999998</v>
      </c>
      <c r="AC13" s="137">
        <f>Advancement!AC8</f>
        <v>2.1900000000000004</v>
      </c>
      <c r="AD13" s="140">
        <f>Advancement!AD8</f>
        <v>1.7777777777777779</v>
      </c>
      <c r="AE13" s="136">
        <f>Advancement!AE8</f>
        <v>1.7048189794701802</v>
      </c>
      <c r="AF13" s="137">
        <f>Advancement!AF8</f>
        <v>1.5211788877100412</v>
      </c>
      <c r="AG13" s="138">
        <f>Advancement!AG8</f>
        <v>1.3666855813477037</v>
      </c>
      <c r="AH13" s="285">
        <f t="shared" si="1"/>
        <v>0.94843604170126183</v>
      </c>
      <c r="AI13" s="137">
        <f t="shared" si="0"/>
        <v>1.0629333458209875</v>
      </c>
      <c r="AJ13" s="138">
        <f t="shared" si="0"/>
        <v>1.18308979532178</v>
      </c>
      <c r="AK13" s="95"/>
      <c r="AL13" s="221" t="str">
        <f>Advancement!A140</f>
        <v>Montaggio TBM</v>
      </c>
      <c r="AM13" s="222"/>
      <c r="AN13" s="218">
        <f>Advancement!C140</f>
        <v>49118</v>
      </c>
      <c r="AO13" s="222"/>
      <c r="AP13" s="223"/>
      <c r="AQ13" s="224"/>
      <c r="AR13" s="136">
        <f>Advancement!G140</f>
        <v>5</v>
      </c>
      <c r="AS13" s="139">
        <f>Advancement!H140</f>
        <v>5</v>
      </c>
      <c r="AT13" s="225">
        <f>Advancement!I140</f>
        <v>5</v>
      </c>
      <c r="AU13" s="285">
        <f>Advancement!J140</f>
        <v>5</v>
      </c>
      <c r="AV13" s="137">
        <f>Advancement!K140</f>
        <v>5</v>
      </c>
      <c r="AW13" s="225">
        <f>Advancement!L140</f>
        <v>5</v>
      </c>
      <c r="AX13" s="285">
        <f>Advancement!M140</f>
        <v>5</v>
      </c>
      <c r="AY13" s="137">
        <f>Advancement!N140</f>
        <v>5</v>
      </c>
      <c r="AZ13" s="333">
        <f>Advancement!O140</f>
        <v>5</v>
      </c>
      <c r="BA13" s="334">
        <f>Advancement!P140</f>
        <v>5</v>
      </c>
      <c r="BB13" s="95"/>
      <c r="BC13" s="95"/>
      <c r="BD13" s="95"/>
      <c r="BE13" s="95"/>
      <c r="BF13" s="95"/>
      <c r="BG13" s="95"/>
      <c r="BH13" s="95"/>
      <c r="BI13" s="649" t="s">
        <v>119</v>
      </c>
      <c r="BJ13" s="650"/>
      <c r="BK13" s="299">
        <v>2</v>
      </c>
      <c r="BL13" s="306">
        <v>2.8</v>
      </c>
      <c r="BM13" s="312">
        <v>3</v>
      </c>
      <c r="BN13" s="95"/>
      <c r="BO13" s="95"/>
    </row>
    <row r="14" spans="1:67" ht="15.75" thickBot="1" x14ac:dyDescent="0.3">
      <c r="A14" s="125" t="str">
        <f>Advancement!A9</f>
        <v>F4</v>
      </c>
      <c r="B14" s="126">
        <f>Advancement!B9</f>
        <v>51494.5</v>
      </c>
      <c r="C14" s="126">
        <f>Advancement!C9</f>
        <v>51505.5</v>
      </c>
      <c r="D14" s="127">
        <f>Advancement!D9</f>
        <v>11</v>
      </c>
      <c r="E14" s="128" t="str">
        <f>Advancement!E9</f>
        <v>F4</v>
      </c>
      <c r="F14" s="129">
        <f>Advancement!F9</f>
        <v>0</v>
      </c>
      <c r="G14" s="130">
        <f>Advancement!G9</f>
        <v>1</v>
      </c>
      <c r="H14" s="130">
        <f>Advancement!H9</f>
        <v>0</v>
      </c>
      <c r="I14" s="131">
        <f>Advancement!I9</f>
        <v>0</v>
      </c>
      <c r="J14" s="132">
        <f>Advancement!J9</f>
        <v>20</v>
      </c>
      <c r="K14" s="133">
        <f>Advancement!K9</f>
        <v>30</v>
      </c>
      <c r="L14" s="134">
        <f>Advancement!L9</f>
        <v>40</v>
      </c>
      <c r="M14" s="132">
        <f>Advancement!M9</f>
        <v>104</v>
      </c>
      <c r="N14" s="133">
        <f>Advancement!N9</f>
        <v>131</v>
      </c>
      <c r="O14" s="135">
        <f>Advancement!O9</f>
        <v>158</v>
      </c>
      <c r="P14" s="136">
        <f>Advancement!P9</f>
        <v>1.85</v>
      </c>
      <c r="Q14" s="137">
        <f>Advancement!Q9</f>
        <v>2.2000000000000002</v>
      </c>
      <c r="R14" s="138">
        <f>Advancement!R9</f>
        <v>2.1</v>
      </c>
      <c r="S14" s="139">
        <f>Advancement!S9</f>
        <v>1.42598</v>
      </c>
      <c r="T14" s="137">
        <f>Advancement!T9</f>
        <v>1.3805500000000002</v>
      </c>
      <c r="U14" s="140">
        <f>Advancement!U9</f>
        <v>1.3351200000000001</v>
      </c>
      <c r="V14" s="136">
        <f>Advancement!V9</f>
        <v>2.1458393973509011</v>
      </c>
      <c r="W14" s="137">
        <f>Advancement!W9</f>
        <v>1.8844501885502059</v>
      </c>
      <c r="X14" s="140">
        <f>Advancement!X9</f>
        <v>1.6626540178496294</v>
      </c>
      <c r="Y14" s="136">
        <f>Advancement!Y9</f>
        <v>1.42598</v>
      </c>
      <c r="Z14" s="137">
        <f>Advancement!Z9</f>
        <v>1.3805500000000002</v>
      </c>
      <c r="AA14" s="140">
        <f>Advancement!AA9</f>
        <v>1.3351200000000001</v>
      </c>
      <c r="AB14" s="136">
        <f>Advancement!AB9</f>
        <v>1.4</v>
      </c>
      <c r="AC14" s="137">
        <f>Advancement!AC9</f>
        <v>1.8</v>
      </c>
      <c r="AD14" s="140">
        <f>Advancement!AD9</f>
        <v>2.1</v>
      </c>
      <c r="AE14" s="136">
        <f>Advancement!AE9</f>
        <v>1.6495598794701802</v>
      </c>
      <c r="AF14" s="137">
        <f>Advancement!AF9</f>
        <v>1.7291100377100412</v>
      </c>
      <c r="AG14" s="138">
        <f>Advancement!AG9</f>
        <v>1.7065788035699261</v>
      </c>
      <c r="AH14" s="285">
        <f t="shared" si="1"/>
        <v>9.8065373616088389E-3</v>
      </c>
      <c r="AI14" s="137">
        <f t="shared" si="0"/>
        <v>9.355373709852911E-3</v>
      </c>
      <c r="AJ14" s="138">
        <f t="shared" si="0"/>
        <v>9.4788887301285839E-3</v>
      </c>
      <c r="AK14" s="95"/>
      <c r="AL14" s="227">
        <f>Advancement!A141</f>
        <v>26</v>
      </c>
      <c r="AM14" s="218">
        <f>Advancement!B141</f>
        <v>49118</v>
      </c>
      <c r="AN14" s="218">
        <f>Advancement!C141</f>
        <v>50323</v>
      </c>
      <c r="AO14" s="186">
        <f>Advancement!D141</f>
        <v>1205</v>
      </c>
      <c r="AP14" s="228" t="str">
        <f>Advancement!E141</f>
        <v>GB-G-GA-1</v>
      </c>
      <c r="AQ14" s="134">
        <f>Advancement!F141</f>
        <v>1205</v>
      </c>
      <c r="AR14" s="136">
        <f>Advancement!G141</f>
        <v>7.6597790146742435</v>
      </c>
      <c r="AS14" s="139">
        <f>Advancement!H141</f>
        <v>7.4113063019487582</v>
      </c>
      <c r="AT14" s="225">
        <f>Advancement!I141</f>
        <v>7.1302976030858414</v>
      </c>
      <c r="AU14" s="285">
        <f>Advancement!J141</f>
        <v>8.1941793142492134</v>
      </c>
      <c r="AV14" s="137">
        <f>Advancement!K141</f>
        <v>7.8957836976342968</v>
      </c>
      <c r="AW14" s="225">
        <f>Advancement!L141</f>
        <v>7.5583149951293462</v>
      </c>
      <c r="AX14" s="285">
        <f>Advancement!M141</f>
        <v>7.7870599557063471</v>
      </c>
      <c r="AY14" s="137">
        <f>Advancement!N141</f>
        <v>7.5266968413640285</v>
      </c>
      <c r="AZ14" s="333">
        <f>Advancement!O141</f>
        <v>7.2322407653197196</v>
      </c>
      <c r="BA14" s="226">
        <f>Advancement!P141</f>
        <v>7.6777777777777771</v>
      </c>
      <c r="BB14" s="95"/>
      <c r="BC14" s="95"/>
      <c r="BD14" s="95"/>
      <c r="BE14" s="95"/>
      <c r="BF14" s="95"/>
      <c r="BG14" s="95"/>
      <c r="BH14" s="95"/>
      <c r="BI14" s="533" t="s">
        <v>126</v>
      </c>
      <c r="BJ14" s="535"/>
      <c r="BK14" s="300">
        <f>SUM(BK11:BK13)</f>
        <v>5</v>
      </c>
      <c r="BL14" s="307">
        <f>SUM(BL11:BL13)</f>
        <v>6</v>
      </c>
      <c r="BM14" s="313">
        <f>SUM(BM11:BM13)</f>
        <v>6.5</v>
      </c>
      <c r="BN14" s="95"/>
      <c r="BO14" s="95"/>
    </row>
    <row r="15" spans="1:67" ht="15" x14ac:dyDescent="0.25">
      <c r="A15" s="125">
        <f>Advancement!A10</f>
        <v>28</v>
      </c>
      <c r="B15" s="126">
        <f>Advancement!B10</f>
        <v>51505.5</v>
      </c>
      <c r="C15" s="126">
        <f>Advancement!C10</f>
        <v>51564</v>
      </c>
      <c r="D15" s="127">
        <f>Advancement!D10</f>
        <v>58.5</v>
      </c>
      <c r="E15" s="128" t="str">
        <f>Advancement!E10</f>
        <v>GB-G-GA-3</v>
      </c>
      <c r="F15" s="129">
        <f>Advancement!F10</f>
        <v>0</v>
      </c>
      <c r="G15" s="130">
        <f>Advancement!G10</f>
        <v>0</v>
      </c>
      <c r="H15" s="130">
        <f>Advancement!H10</f>
        <v>0.25</v>
      </c>
      <c r="I15" s="131">
        <f>Advancement!I10</f>
        <v>0.75</v>
      </c>
      <c r="J15" s="132">
        <f>Advancement!J10</f>
        <v>59</v>
      </c>
      <c r="K15" s="133">
        <f>Advancement!K10</f>
        <v>72</v>
      </c>
      <c r="L15" s="134">
        <f>Advancement!L10</f>
        <v>85</v>
      </c>
      <c r="M15" s="132">
        <f>Advancement!M10</f>
        <v>104</v>
      </c>
      <c r="N15" s="133">
        <f>Advancement!N10</f>
        <v>131</v>
      </c>
      <c r="O15" s="135">
        <f>Advancement!O10</f>
        <v>158</v>
      </c>
      <c r="P15" s="136">
        <f>Advancement!P10</f>
        <v>1.97</v>
      </c>
      <c r="Q15" s="137">
        <f>Advancement!Q10</f>
        <v>1.6</v>
      </c>
      <c r="R15" s="138">
        <f>Advancement!R10</f>
        <v>1.6</v>
      </c>
      <c r="S15" s="139">
        <f>Advancement!S10</f>
        <v>1.2488030000000001</v>
      </c>
      <c r="T15" s="137">
        <f>Advancement!T10</f>
        <v>1.1897440000000001</v>
      </c>
      <c r="U15" s="140">
        <f>Advancement!U10</f>
        <v>1.1306850000000002</v>
      </c>
      <c r="V15" s="136">
        <f>Advancement!V10</f>
        <v>1.722416397350901</v>
      </c>
      <c r="W15" s="137">
        <f>Advancement!W10</f>
        <v>1.4284561885502056</v>
      </c>
      <c r="X15" s="140">
        <f>Advancement!X10</f>
        <v>1.1740890178496297</v>
      </c>
      <c r="Y15" s="136">
        <f>Advancement!Y10</f>
        <v>1.2828755000000003</v>
      </c>
      <c r="Z15" s="137">
        <f>Advancement!Z10</f>
        <v>1.1976942500000001</v>
      </c>
      <c r="AA15" s="140">
        <f>Advancement!AA10</f>
        <v>1.1508761111111112</v>
      </c>
      <c r="AB15" s="136">
        <f>Advancement!AB10</f>
        <v>2.2999999999999998</v>
      </c>
      <c r="AC15" s="137">
        <f>Advancement!AC10</f>
        <v>2.1900000000000004</v>
      </c>
      <c r="AD15" s="140">
        <f>Advancement!AD10</f>
        <v>1.7777777777777779</v>
      </c>
      <c r="AE15" s="136">
        <f>Advancement!AE10</f>
        <v>1.7048189794701802</v>
      </c>
      <c r="AF15" s="137">
        <f>Advancement!AF10</f>
        <v>1.5211788877100412</v>
      </c>
      <c r="AG15" s="138">
        <f>Advancement!AG10</f>
        <v>1.3666855813477037</v>
      </c>
      <c r="AH15" s="285">
        <f t="shared" si="1"/>
        <v>5.046249062257737E-2</v>
      </c>
      <c r="AI15" s="137">
        <f t="shared" si="0"/>
        <v>5.6554434497978881E-2</v>
      </c>
      <c r="AJ15" s="138">
        <f t="shared" si="0"/>
        <v>6.2947478877966451E-2</v>
      </c>
      <c r="AK15" s="95"/>
      <c r="AL15" s="125">
        <f>Advancement!A142</f>
        <v>27</v>
      </c>
      <c r="AM15" s="126">
        <f>Advancement!B142</f>
        <v>50323</v>
      </c>
      <c r="AN15" s="126">
        <f>Advancement!C142</f>
        <v>50395</v>
      </c>
      <c r="AO15" s="182">
        <f>Advancement!D142</f>
        <v>72</v>
      </c>
      <c r="AP15" s="128" t="str">
        <f>Advancement!E142</f>
        <v>GB-G-GA-2</v>
      </c>
      <c r="AQ15" s="134">
        <f>Advancement!F142</f>
        <v>1277</v>
      </c>
      <c r="AR15" s="136">
        <f>Advancement!G142</f>
        <v>7.8357032916426705</v>
      </c>
      <c r="AS15" s="137">
        <f>Advancement!H142</f>
        <v>7.5749112933903637</v>
      </c>
      <c r="AT15" s="138">
        <f>Advancement!I142</f>
        <v>7.2898556726456727</v>
      </c>
      <c r="AU15" s="285">
        <f>Advancement!J142</f>
        <v>8.3865695529861899</v>
      </c>
      <c r="AV15" s="137">
        <f>Advancement!K142</f>
        <v>8.0747016042723931</v>
      </c>
      <c r="AW15" s="225">
        <f>Advancement!L142</f>
        <v>7.7328072006623918</v>
      </c>
      <c r="AX15" s="285">
        <f>Advancement!M142</f>
        <v>7.9472147888646605</v>
      </c>
      <c r="AY15" s="137">
        <f>Advancement!N142</f>
        <v>7.675636661153086</v>
      </c>
      <c r="AZ15" s="333">
        <f>Advancement!O142</f>
        <v>7.3774964199102655</v>
      </c>
      <c r="BA15" s="226">
        <f>Advancement!P142</f>
        <v>7.8377777777777773</v>
      </c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</row>
    <row r="16" spans="1:67" ht="15" x14ac:dyDescent="0.25">
      <c r="A16" s="125">
        <f>Advancement!A11</f>
        <v>29</v>
      </c>
      <c r="B16" s="126">
        <f>Advancement!B11</f>
        <v>51564</v>
      </c>
      <c r="C16" s="126">
        <f>Advancement!C11</f>
        <v>51639</v>
      </c>
      <c r="D16" s="127">
        <f>Advancement!D11</f>
        <v>75</v>
      </c>
      <c r="E16" s="128" t="str">
        <f>Advancement!E11</f>
        <v>GB-G-GA-4</v>
      </c>
      <c r="F16" s="129">
        <f>Advancement!F11</f>
        <v>0</v>
      </c>
      <c r="G16" s="130">
        <f>Advancement!G11</f>
        <v>0</v>
      </c>
      <c r="H16" s="130">
        <f>Advancement!H11</f>
        <v>0.45</v>
      </c>
      <c r="I16" s="131">
        <f>Advancement!I11</f>
        <v>0.55000000000000004</v>
      </c>
      <c r="J16" s="132">
        <f>Advancement!J11</f>
        <v>51</v>
      </c>
      <c r="K16" s="133">
        <f>Advancement!K11</f>
        <v>59</v>
      </c>
      <c r="L16" s="134">
        <f>Advancement!L11</f>
        <v>67</v>
      </c>
      <c r="M16" s="132">
        <f>Advancement!M11</f>
        <v>72</v>
      </c>
      <c r="N16" s="133">
        <f>Advancement!N11</f>
        <v>90</v>
      </c>
      <c r="O16" s="135">
        <f>Advancement!O11</f>
        <v>108</v>
      </c>
      <c r="P16" s="136">
        <f>Advancement!P11</f>
        <v>1.9966666666666666</v>
      </c>
      <c r="Q16" s="137">
        <f>Advancement!Q11</f>
        <v>1.97</v>
      </c>
      <c r="R16" s="138">
        <f>Advancement!R11</f>
        <v>1.78</v>
      </c>
      <c r="S16" s="139">
        <f>Advancement!S11</f>
        <v>1.285147</v>
      </c>
      <c r="T16" s="137">
        <f>Advancement!T11</f>
        <v>1.2488030000000001</v>
      </c>
      <c r="U16" s="140">
        <f>Advancement!U11</f>
        <v>1.212459</v>
      </c>
      <c r="V16" s="136">
        <f>Advancement!V11</f>
        <v>2.086944780944477</v>
      </c>
      <c r="W16" s="137">
        <f>Advancement!W11</f>
        <v>1.8263011751823361</v>
      </c>
      <c r="X16" s="140">
        <f>Advancement!X11</f>
        <v>1.6095062263591924</v>
      </c>
      <c r="Y16" s="136">
        <f>Advancement!Y11</f>
        <v>1.2889328333333336</v>
      </c>
      <c r="Z16" s="137">
        <f>Advancement!Z11</f>
        <v>1.2828755000000003</v>
      </c>
      <c r="AA16" s="140">
        <f>Advancement!AA11</f>
        <v>1.2397170000000002</v>
      </c>
      <c r="AB16" s="136">
        <f>Advancement!AB11</f>
        <v>2.2999999999999998</v>
      </c>
      <c r="AC16" s="137">
        <f>Advancement!AC11</f>
        <v>2.2999999999999998</v>
      </c>
      <c r="AD16" s="140">
        <f>Advancement!AD11</f>
        <v>2.29</v>
      </c>
      <c r="AE16" s="136">
        <f>Advancement!AE11</f>
        <v>1.7915382561888955</v>
      </c>
      <c r="AF16" s="137">
        <f>Advancement!AF11</f>
        <v>1.7255959350364674</v>
      </c>
      <c r="AG16" s="138">
        <f>Advancement!AG11</f>
        <v>1.6263364452718385</v>
      </c>
      <c r="AH16" s="285">
        <f t="shared" si="1"/>
        <v>6.156391986944524E-2</v>
      </c>
      <c r="AI16" s="137">
        <f t="shared" si="0"/>
        <v>6.3916537705988499E-2</v>
      </c>
      <c r="AJ16" s="138">
        <f t="shared" si="0"/>
        <v>6.7817528142907355E-2</v>
      </c>
      <c r="AK16" s="95"/>
      <c r="AL16" s="125">
        <f>Advancement!A143</f>
        <v>28</v>
      </c>
      <c r="AM16" s="126">
        <f>Advancement!B143</f>
        <v>50395</v>
      </c>
      <c r="AN16" s="126">
        <f>Advancement!C143</f>
        <v>51494.5</v>
      </c>
      <c r="AO16" s="182">
        <f>Advancement!D143</f>
        <v>1099.5</v>
      </c>
      <c r="AP16" s="128" t="str">
        <f>Advancement!E143</f>
        <v>GB-G-GA-3</v>
      </c>
      <c r="AQ16" s="134">
        <f>Advancement!F143</f>
        <v>2376.5</v>
      </c>
      <c r="AR16" s="136">
        <f>Advancement!G143</f>
        <v>10.374068666908421</v>
      </c>
      <c r="AS16" s="137">
        <f>Advancement!H143</f>
        <v>9.8554763121373412</v>
      </c>
      <c r="AT16" s="138">
        <f>Advancement!I143</f>
        <v>9.3247622523730342</v>
      </c>
      <c r="AU16" s="285">
        <f>Advancement!J143</f>
        <v>11.399212002611943</v>
      </c>
      <c r="AV16" s="137">
        <f>Advancement!K143</f>
        <v>10.781375376124245</v>
      </c>
      <c r="AW16" s="225">
        <f>Advancement!L143</f>
        <v>10.14792285061786</v>
      </c>
      <c r="AX16" s="285">
        <f>Advancement!M143</f>
        <v>10.558972117185007</v>
      </c>
      <c r="AY16" s="137">
        <f>Advancement!N143</f>
        <v>10.022139831446237</v>
      </c>
      <c r="AZ16" s="333">
        <f>Advancement!O143</f>
        <v>9.4712384098685938</v>
      </c>
      <c r="BA16" s="226">
        <f>Advancement!P143</f>
        <v>10.281111111111111</v>
      </c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</row>
    <row r="17" spans="1:67" ht="15.75" thickBot="1" x14ac:dyDescent="0.3">
      <c r="A17" s="125" t="str">
        <f>Advancement!A12</f>
        <v>F6-F7</v>
      </c>
      <c r="B17" s="126">
        <f>Advancement!B12</f>
        <v>51639</v>
      </c>
      <c r="C17" s="126">
        <f>Advancement!C12</f>
        <v>51743</v>
      </c>
      <c r="D17" s="127">
        <f>Advancement!D12</f>
        <v>104</v>
      </c>
      <c r="E17" s="128" t="str">
        <f>Advancement!E12</f>
        <v>F6-F7</v>
      </c>
      <c r="F17" s="129">
        <f>Advancement!F12</f>
        <v>0</v>
      </c>
      <c r="G17" s="130">
        <f>Advancement!G12</f>
        <v>1</v>
      </c>
      <c r="H17" s="130">
        <f>Advancement!H12</f>
        <v>0</v>
      </c>
      <c r="I17" s="131">
        <f>Advancement!I12</f>
        <v>0</v>
      </c>
      <c r="J17" s="132">
        <f>Advancement!J12</f>
        <v>20</v>
      </c>
      <c r="K17" s="133">
        <f>Advancement!K12</f>
        <v>30</v>
      </c>
      <c r="L17" s="134">
        <f>Advancement!L12</f>
        <v>40</v>
      </c>
      <c r="M17" s="132">
        <f>Advancement!M12</f>
        <v>72</v>
      </c>
      <c r="N17" s="133">
        <f>Advancement!N12</f>
        <v>90</v>
      </c>
      <c r="O17" s="135">
        <f>Advancement!O12</f>
        <v>108</v>
      </c>
      <c r="P17" s="136">
        <f>Advancement!P12</f>
        <v>1.85</v>
      </c>
      <c r="Q17" s="137">
        <f>Advancement!Q12</f>
        <v>2.2000000000000002</v>
      </c>
      <c r="R17" s="138">
        <f>Advancement!R12</f>
        <v>2.1</v>
      </c>
      <c r="S17" s="139">
        <f>Advancement!S12</f>
        <v>1.42598</v>
      </c>
      <c r="T17" s="137">
        <f>Advancement!T12</f>
        <v>1.3805500000000002</v>
      </c>
      <c r="U17" s="140">
        <f>Advancement!U12</f>
        <v>1.3351200000000001</v>
      </c>
      <c r="V17" s="136">
        <f>Advancement!V12</f>
        <v>2.4235117809444766</v>
      </c>
      <c r="W17" s="137">
        <f>Advancement!W12</f>
        <v>2.1411541751823355</v>
      </c>
      <c r="X17" s="140">
        <f>Advancement!X12</f>
        <v>1.9026452263591929</v>
      </c>
      <c r="Y17" s="136">
        <f>Advancement!Y12</f>
        <v>1.42598</v>
      </c>
      <c r="Z17" s="137">
        <f>Advancement!Z12</f>
        <v>1.3805500000000002</v>
      </c>
      <c r="AA17" s="140">
        <f>Advancement!AA12</f>
        <v>1.3351200000000001</v>
      </c>
      <c r="AB17" s="136">
        <f>Advancement!AB12</f>
        <v>1.4</v>
      </c>
      <c r="AC17" s="137">
        <f>Advancement!AC12</f>
        <v>1.8</v>
      </c>
      <c r="AD17" s="140">
        <f>Advancement!AD12</f>
        <v>2.1</v>
      </c>
      <c r="AE17" s="136">
        <f>Advancement!AE12</f>
        <v>1.7050943561888954</v>
      </c>
      <c r="AF17" s="137">
        <f>Advancement!AF12</f>
        <v>1.7804508350364674</v>
      </c>
      <c r="AG17" s="138">
        <f>Advancement!AG12</f>
        <v>1.7545770452718386</v>
      </c>
      <c r="AH17" s="285">
        <f t="shared" si="1"/>
        <v>8.9696605888973435E-2</v>
      </c>
      <c r="AI17" s="137">
        <f t="shared" si="0"/>
        <v>8.5900252599480337E-2</v>
      </c>
      <c r="AJ17" s="138">
        <f t="shared" si="0"/>
        <v>8.716697672680021E-2</v>
      </c>
      <c r="AK17" s="95"/>
      <c r="AL17" s="125" t="str">
        <f>Advancement!A144</f>
        <v>F4</v>
      </c>
      <c r="AM17" s="126">
        <f>Advancement!B144</f>
        <v>51494.5</v>
      </c>
      <c r="AN17" s="126">
        <f>Advancement!C144</f>
        <v>51505.5</v>
      </c>
      <c r="AO17" s="182">
        <f>Advancement!D144</f>
        <v>11</v>
      </c>
      <c r="AP17" s="128" t="str">
        <f>Advancement!E144</f>
        <v>F4</v>
      </c>
      <c r="AQ17" s="134">
        <f>Advancement!F144</f>
        <v>2387.5</v>
      </c>
      <c r="AR17" s="136">
        <f>Advancement!G144</f>
        <v>10.419628078695421</v>
      </c>
      <c r="AS17" s="137">
        <f>Advancement!H144</f>
        <v>9.9004420602754859</v>
      </c>
      <c r="AT17" s="138">
        <f>Advancement!I144</f>
        <v>9.3718964773420481</v>
      </c>
      <c r="AU17" s="285">
        <f>Advancement!J144</f>
        <v>11.441340396968069</v>
      </c>
      <c r="AV17" s="137">
        <f>Advancement!K144</f>
        <v>10.822954814834702</v>
      </c>
      <c r="AW17" s="225">
        <f>Advancement!L144</f>
        <v>10.191507461113899</v>
      </c>
      <c r="AX17" s="285">
        <f>Advancement!M144</f>
        <v>10.59184687578661</v>
      </c>
      <c r="AY17" s="137">
        <f>Advancement!N144</f>
        <v>10.054586214254975</v>
      </c>
      <c r="AZ17" s="333">
        <f>Advancement!O144</f>
        <v>9.5052495221053874</v>
      </c>
      <c r="BA17" s="226">
        <f>Advancement!P144</f>
        <v>10.305555555555555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</row>
    <row r="18" spans="1:67" ht="15.75" thickBot="1" x14ac:dyDescent="0.3">
      <c r="A18" s="125">
        <f>Advancement!A13</f>
        <v>30</v>
      </c>
      <c r="B18" s="126">
        <f>Advancement!B13</f>
        <v>51743</v>
      </c>
      <c r="C18" s="126">
        <f>Advancement!C13</f>
        <v>51980.5</v>
      </c>
      <c r="D18" s="127">
        <f>Advancement!D13</f>
        <v>237.5</v>
      </c>
      <c r="E18" s="128" t="str">
        <f>Advancement!E13</f>
        <v>GB-G-GA-5</v>
      </c>
      <c r="F18" s="129">
        <f>Advancement!F13</f>
        <v>0</v>
      </c>
      <c r="G18" s="130">
        <f>Advancement!G13</f>
        <v>0</v>
      </c>
      <c r="H18" s="130">
        <f>Advancement!H13</f>
        <v>0.3</v>
      </c>
      <c r="I18" s="131">
        <f>Advancement!I13</f>
        <v>0.7</v>
      </c>
      <c r="J18" s="132">
        <f>Advancement!J13</f>
        <v>55</v>
      </c>
      <c r="K18" s="133">
        <f>Advancement!K13</f>
        <v>66</v>
      </c>
      <c r="L18" s="134">
        <f>Advancement!L13</f>
        <v>77</v>
      </c>
      <c r="M18" s="132">
        <f>Advancement!M13</f>
        <v>94</v>
      </c>
      <c r="N18" s="133">
        <f>Advancement!N13</f>
        <v>122</v>
      </c>
      <c r="O18" s="135">
        <f>Advancement!O13</f>
        <v>150</v>
      </c>
      <c r="P18" s="136">
        <f>Advancement!P13</f>
        <v>1.9833333333333334</v>
      </c>
      <c r="Q18" s="137">
        <f>Advancement!Q13</f>
        <v>1.7828571428571429</v>
      </c>
      <c r="R18" s="138">
        <f>Advancement!R13</f>
        <v>1.6</v>
      </c>
      <c r="S18" s="139">
        <f>Advancement!S13</f>
        <v>1.266975</v>
      </c>
      <c r="T18" s="137">
        <f>Advancement!T13</f>
        <v>1.2170020000000001</v>
      </c>
      <c r="U18" s="140">
        <f>Advancement!U13</f>
        <v>1.1670290000000001</v>
      </c>
      <c r="V18" s="136">
        <f>Advancement!V13</f>
        <v>1.8377911363399044</v>
      </c>
      <c r="W18" s="137">
        <f>Advancement!W13</f>
        <v>1.5390918534526636</v>
      </c>
      <c r="X18" s="140">
        <f>Advancement!X13</f>
        <v>1.2914159204212474</v>
      </c>
      <c r="Y18" s="136">
        <f>Advancement!Y13</f>
        <v>1.2859041666666668</v>
      </c>
      <c r="Z18" s="137">
        <f>Advancement!Z13</f>
        <v>1.2403660000000001</v>
      </c>
      <c r="AA18" s="140">
        <f>Advancement!AA13</f>
        <v>1.1948548750000001</v>
      </c>
      <c r="AB18" s="136">
        <f>Advancement!AB13</f>
        <v>2.2999999999999998</v>
      </c>
      <c r="AC18" s="137">
        <f>Advancement!AC13</f>
        <v>2.2914285714285714</v>
      </c>
      <c r="AD18" s="140">
        <f>Advancement!AD13</f>
        <v>2.165</v>
      </c>
      <c r="AE18" s="136">
        <f>Advancement!AE13</f>
        <v>1.7348007272679808</v>
      </c>
      <c r="AF18" s="137">
        <f>Advancement!AF13</f>
        <v>1.6141491135476755</v>
      </c>
      <c r="AG18" s="138">
        <f>Advancement!AG13</f>
        <v>1.4836599590842494</v>
      </c>
      <c r="AH18" s="285">
        <f t="shared" si="1"/>
        <v>0.20132842948041996</v>
      </c>
      <c r="AI18" s="137">
        <f t="shared" si="0"/>
        <v>0.2163769771645927</v>
      </c>
      <c r="AJ18" s="138">
        <f t="shared" si="0"/>
        <v>0.23540751621950326</v>
      </c>
      <c r="AK18" s="95"/>
      <c r="AL18" s="125">
        <f>Advancement!A145</f>
        <v>28</v>
      </c>
      <c r="AM18" s="126">
        <f>Advancement!B145</f>
        <v>51505.5</v>
      </c>
      <c r="AN18" s="126">
        <f>Advancement!C145</f>
        <v>51564</v>
      </c>
      <c r="AO18" s="182">
        <f>Advancement!D145</f>
        <v>58.5</v>
      </c>
      <c r="AP18" s="128" t="str">
        <f>Advancement!E145</f>
        <v>GB-G-GA-3</v>
      </c>
      <c r="AQ18" s="134">
        <f>Advancement!F145</f>
        <v>2446</v>
      </c>
      <c r="AR18" s="136">
        <f>Advancement!G145</f>
        <v>10.554684353777773</v>
      </c>
      <c r="AS18" s="137">
        <f>Advancement!H145</f>
        <v>10.021781808885489</v>
      </c>
      <c r="AT18" s="138">
        <f>Advancement!I145</f>
        <v>9.4801657223752915</v>
      </c>
      <c r="AU18" s="285">
        <f>Advancement!J145</f>
        <v>11.601631059362891</v>
      </c>
      <c r="AV18" s="137">
        <f>Advancement!K145</f>
        <v>10.966966106925046</v>
      </c>
      <c r="AW18" s="225">
        <f>Advancement!L145</f>
        <v>10.320006110975104</v>
      </c>
      <c r="AX18" s="285">
        <f>Advancement!M145</f>
        <v>10.730808043323435</v>
      </c>
      <c r="AY18" s="137">
        <f>Advancement!N145</f>
        <v>10.179434268336056</v>
      </c>
      <c r="AZ18" s="333">
        <f>Advancement!O145</f>
        <v>9.6166491641359126</v>
      </c>
      <c r="BA18" s="226">
        <f>Advancement!P145</f>
        <v>10.435555555555556</v>
      </c>
      <c r="BB18" s="95"/>
      <c r="BC18" s="95"/>
      <c r="BD18" s="95"/>
      <c r="BE18" s="95"/>
      <c r="BF18" s="95"/>
      <c r="BG18" s="533" t="s">
        <v>127</v>
      </c>
      <c r="BH18" s="534"/>
      <c r="BI18" s="534"/>
      <c r="BJ18" s="534"/>
      <c r="BK18" s="534"/>
      <c r="BL18" s="534"/>
      <c r="BM18" s="534"/>
      <c r="BN18" s="534"/>
      <c r="BO18" s="535"/>
    </row>
    <row r="19" spans="1:67" ht="15.75" thickBot="1" x14ac:dyDescent="0.3">
      <c r="A19" s="141" t="str">
        <f>Advancement!A14</f>
        <v>F9</v>
      </c>
      <c r="B19" s="126">
        <f>Advancement!B14</f>
        <v>51980.5</v>
      </c>
      <c r="C19" s="142">
        <f>Advancement!C14</f>
        <v>52003.5</v>
      </c>
      <c r="D19" s="127">
        <f>Advancement!D14</f>
        <v>23</v>
      </c>
      <c r="E19" s="143" t="str">
        <f>Advancement!E14</f>
        <v>F9</v>
      </c>
      <c r="F19" s="129">
        <f>Advancement!F14</f>
        <v>0</v>
      </c>
      <c r="G19" s="130">
        <f>Advancement!G14</f>
        <v>1</v>
      </c>
      <c r="H19" s="130">
        <f>Advancement!H14</f>
        <v>0</v>
      </c>
      <c r="I19" s="131">
        <f>Advancement!I14</f>
        <v>0</v>
      </c>
      <c r="J19" s="132">
        <f>Advancement!J14</f>
        <v>20</v>
      </c>
      <c r="K19" s="133">
        <f>Advancement!K14</f>
        <v>30</v>
      </c>
      <c r="L19" s="134">
        <f>Advancement!L14</f>
        <v>40</v>
      </c>
      <c r="M19" s="132">
        <f>Advancement!M14</f>
        <v>94</v>
      </c>
      <c r="N19" s="133">
        <f>Advancement!N14</f>
        <v>122</v>
      </c>
      <c r="O19" s="135">
        <f>Advancement!O14</f>
        <v>150</v>
      </c>
      <c r="P19" s="136">
        <f>Advancement!P14</f>
        <v>1.85</v>
      </c>
      <c r="Q19" s="137">
        <f>Advancement!Q14</f>
        <v>2.2000000000000002</v>
      </c>
      <c r="R19" s="138">
        <f>Advancement!R14</f>
        <v>2.1</v>
      </c>
      <c r="S19" s="139">
        <f>Advancement!S14</f>
        <v>1.42598</v>
      </c>
      <c r="T19" s="137">
        <f>Advancement!T14</f>
        <v>1.3805500000000002</v>
      </c>
      <c r="U19" s="140">
        <f>Advancement!U14</f>
        <v>1.3351200000000001</v>
      </c>
      <c r="V19" s="136">
        <f>Advancement!V14</f>
        <v>2.2177861363399041</v>
      </c>
      <c r="W19" s="137">
        <f>Advancement!W14</f>
        <v>1.9299438534526638</v>
      </c>
      <c r="X19" s="140">
        <f>Advancement!X14</f>
        <v>1.6931249204212475</v>
      </c>
      <c r="Y19" s="136">
        <f>Advancement!Y14</f>
        <v>1.42598</v>
      </c>
      <c r="Z19" s="137">
        <f>Advancement!Z14</f>
        <v>1.3805500000000002</v>
      </c>
      <c r="AA19" s="140">
        <f>Advancement!AA14</f>
        <v>1.3351200000000001</v>
      </c>
      <c r="AB19" s="136">
        <f>Advancement!AB14</f>
        <v>1.4</v>
      </c>
      <c r="AC19" s="137">
        <f>Advancement!AC14</f>
        <v>1.8</v>
      </c>
      <c r="AD19" s="140">
        <f>Advancement!AD14</f>
        <v>2.1</v>
      </c>
      <c r="AE19" s="136">
        <f>Advancement!AE14</f>
        <v>1.6639492272679806</v>
      </c>
      <c r="AF19" s="137">
        <f>Advancement!AF14</f>
        <v>1.7382087706905331</v>
      </c>
      <c r="AG19" s="138">
        <f>Advancement!AG14</f>
        <v>1.7126729840842496</v>
      </c>
      <c r="AH19" s="285">
        <f t="shared" si="1"/>
        <v>2.0327260506198964E-2</v>
      </c>
      <c r="AI19" s="137">
        <f t="shared" si="0"/>
        <v>1.9458841758304864E-2</v>
      </c>
      <c r="AJ19" s="138">
        <f t="shared" si="0"/>
        <v>1.9748971184858053E-2</v>
      </c>
      <c r="AK19" s="95"/>
      <c r="AL19" s="125">
        <f>Advancement!A146</f>
        <v>29</v>
      </c>
      <c r="AM19" s="126">
        <f>Advancement!B146</f>
        <v>51564</v>
      </c>
      <c r="AN19" s="126">
        <f>Advancement!C146</f>
        <v>51639</v>
      </c>
      <c r="AO19" s="182">
        <f>Advancement!D146</f>
        <v>75</v>
      </c>
      <c r="AP19" s="128" t="str">
        <f>Advancement!E146</f>
        <v>GB-G-GA-4</v>
      </c>
      <c r="AQ19" s="134">
        <f>Advancement!F146</f>
        <v>2521</v>
      </c>
      <c r="AR19" s="136">
        <f>Advancement!G146</f>
        <v>10.708809261492421</v>
      </c>
      <c r="AS19" s="137">
        <f>Advancement!H146</f>
        <v>10.16704116505985</v>
      </c>
      <c r="AT19" s="138">
        <f>Advancement!I146</f>
        <v>9.6200784223550926</v>
      </c>
      <c r="AU19" s="285">
        <f>Advancement!J146</f>
        <v>11.780000448451085</v>
      </c>
      <c r="AV19" s="137">
        <f>Advancement!K146</f>
        <v>11.135075356781892</v>
      </c>
      <c r="AW19" s="225">
        <f>Advancement!L146</f>
        <v>10.481927653645426</v>
      </c>
      <c r="AX19" s="285">
        <f>Advancement!M146</f>
        <v>10.883383177726127</v>
      </c>
      <c r="AY19" s="137">
        <f>Advancement!N146</f>
        <v>10.323232997043714</v>
      </c>
      <c r="AZ19" s="333">
        <f>Advancement!O146</f>
        <v>9.7551549989201529</v>
      </c>
      <c r="BA19" s="226">
        <f>Advancement!P146</f>
        <v>10.602222222222222</v>
      </c>
      <c r="BB19" s="95"/>
      <c r="BC19" s="95"/>
      <c r="BD19" s="95"/>
      <c r="BE19" s="95"/>
      <c r="BF19" s="95"/>
      <c r="BG19" s="557" t="s">
        <v>1</v>
      </c>
      <c r="BH19" s="558"/>
      <c r="BI19" s="559"/>
      <c r="BJ19" s="560" t="s">
        <v>21</v>
      </c>
      <c r="BK19" s="561"/>
      <c r="BL19" s="562"/>
      <c r="BM19" s="563" t="s">
        <v>2</v>
      </c>
      <c r="BN19" s="564"/>
      <c r="BO19" s="565"/>
    </row>
    <row r="20" spans="1:67" ht="15.75" thickBot="1" x14ac:dyDescent="0.3">
      <c r="A20" s="125">
        <f>Advancement!A15</f>
        <v>30</v>
      </c>
      <c r="B20" s="126">
        <f>Advancement!B15</f>
        <v>52003.5</v>
      </c>
      <c r="C20" s="142">
        <f>Advancement!C15</f>
        <v>52363.5</v>
      </c>
      <c r="D20" s="127">
        <f>Advancement!D15</f>
        <v>360</v>
      </c>
      <c r="E20" s="128" t="str">
        <f>Advancement!E15</f>
        <v>GB-G-GA-5</v>
      </c>
      <c r="F20" s="129">
        <f>Advancement!F15</f>
        <v>0</v>
      </c>
      <c r="G20" s="130">
        <f>Advancement!G15</f>
        <v>0</v>
      </c>
      <c r="H20" s="130">
        <f>Advancement!H15</f>
        <v>0.3</v>
      </c>
      <c r="I20" s="131">
        <f>Advancement!I15</f>
        <v>0.7</v>
      </c>
      <c r="J20" s="132">
        <f>Advancement!J15</f>
        <v>55</v>
      </c>
      <c r="K20" s="133">
        <f>Advancement!K15</f>
        <v>66</v>
      </c>
      <c r="L20" s="134">
        <f>Advancement!L15</f>
        <v>77</v>
      </c>
      <c r="M20" s="132">
        <f>Advancement!M15</f>
        <v>94</v>
      </c>
      <c r="N20" s="133">
        <f>Advancement!N15</f>
        <v>122</v>
      </c>
      <c r="O20" s="135">
        <f>Advancement!O15</f>
        <v>150</v>
      </c>
      <c r="P20" s="136">
        <f>Advancement!P15</f>
        <v>1.9833333333333334</v>
      </c>
      <c r="Q20" s="137">
        <f>Advancement!Q15</f>
        <v>1.7828571428571429</v>
      </c>
      <c r="R20" s="138">
        <f>Advancement!R15</f>
        <v>1.6</v>
      </c>
      <c r="S20" s="139">
        <f>Advancement!S15</f>
        <v>1.266975</v>
      </c>
      <c r="T20" s="137">
        <f>Advancement!T15</f>
        <v>1.2170020000000001</v>
      </c>
      <c r="U20" s="140">
        <f>Advancement!U15</f>
        <v>1.1670290000000001</v>
      </c>
      <c r="V20" s="136">
        <f>Advancement!V15</f>
        <v>1.8377911363399044</v>
      </c>
      <c r="W20" s="137">
        <f>Advancement!W15</f>
        <v>1.5390918534526636</v>
      </c>
      <c r="X20" s="140">
        <f>Advancement!X15</f>
        <v>1.2914159204212474</v>
      </c>
      <c r="Y20" s="136">
        <f>Advancement!Y15</f>
        <v>1.2859041666666668</v>
      </c>
      <c r="Z20" s="137">
        <f>Advancement!Z15</f>
        <v>1.2403660000000001</v>
      </c>
      <c r="AA20" s="140">
        <f>Advancement!AA15</f>
        <v>1.1948548750000001</v>
      </c>
      <c r="AB20" s="136">
        <f>Advancement!AB15</f>
        <v>2.2999999999999998</v>
      </c>
      <c r="AC20" s="137">
        <f>Advancement!AC15</f>
        <v>2.2914285714285714</v>
      </c>
      <c r="AD20" s="140">
        <f>Advancement!AD15</f>
        <v>2.165</v>
      </c>
      <c r="AE20" s="136">
        <f>Advancement!AE15</f>
        <v>1.7348007272679808</v>
      </c>
      <c r="AF20" s="137">
        <f>Advancement!AF15</f>
        <v>1.6141491135476755</v>
      </c>
      <c r="AG20" s="138">
        <f>Advancement!AG15</f>
        <v>1.4836599590842494</v>
      </c>
      <c r="AH20" s="285">
        <f t="shared" si="1"/>
        <v>0.30517151415979449</v>
      </c>
      <c r="AI20" s="137">
        <f t="shared" si="0"/>
        <v>0.32798194433369843</v>
      </c>
      <c r="AJ20" s="138">
        <f t="shared" si="0"/>
        <v>0.35682823511166806</v>
      </c>
      <c r="AK20" s="95"/>
      <c r="AL20" s="125" t="str">
        <f>Advancement!A147</f>
        <v>F6-F7</v>
      </c>
      <c r="AM20" s="126">
        <f>Advancement!B147</f>
        <v>51639</v>
      </c>
      <c r="AN20" s="126">
        <f>Advancement!C147</f>
        <v>51743</v>
      </c>
      <c r="AO20" s="182">
        <f>Advancement!D147</f>
        <v>104</v>
      </c>
      <c r="AP20" s="128" t="str">
        <f>Advancement!E147</f>
        <v>F6-F7</v>
      </c>
      <c r="AQ20" s="134">
        <f>Advancement!F147</f>
        <v>2625</v>
      </c>
      <c r="AR20" s="136">
        <f>Advancement!G147</f>
        <v>11.127769363250072</v>
      </c>
      <c r="AS20" s="137">
        <f>Advancement!H147</f>
        <v>10.579912873148139</v>
      </c>
      <c r="AT20" s="138">
        <f>Advancement!I147</f>
        <v>10.051196955332802</v>
      </c>
      <c r="AU20" s="285">
        <f>Advancement!J147</f>
        <v>12.16740923390353</v>
      </c>
      <c r="AV20" s="137">
        <f>Advancement!K147</f>
        <v>11.516854257224026</v>
      </c>
      <c r="AW20" s="225">
        <f>Advancement!L147</f>
        <v>10.880579235374197</v>
      </c>
      <c r="AX20" s="285">
        <f>Advancement!M147</f>
        <v>11.185696391807515</v>
      </c>
      <c r="AY20" s="137">
        <f>Advancement!N147</f>
        <v>10.621152948255785</v>
      </c>
      <c r="AZ20" s="333">
        <f>Advancement!O147</f>
        <v>10.066241493332777</v>
      </c>
      <c r="BA20" s="226">
        <f>Advancement!P147</f>
        <v>10.833333333333334</v>
      </c>
      <c r="BB20" s="95"/>
      <c r="BC20" s="95"/>
      <c r="BD20" s="95"/>
      <c r="BE20" s="95"/>
      <c r="BF20" s="95"/>
      <c r="BG20" s="299" t="s">
        <v>65</v>
      </c>
      <c r="BH20" s="314" t="s">
        <v>66</v>
      </c>
      <c r="BI20" s="315" t="s">
        <v>67</v>
      </c>
      <c r="BJ20" s="317" t="s">
        <v>65</v>
      </c>
      <c r="BK20" s="306" t="s">
        <v>66</v>
      </c>
      <c r="BL20" s="318" t="s">
        <v>67</v>
      </c>
      <c r="BM20" s="316" t="s">
        <v>65</v>
      </c>
      <c r="BN20" s="301" t="s">
        <v>66</v>
      </c>
      <c r="BO20" s="312" t="s">
        <v>67</v>
      </c>
    </row>
    <row r="21" spans="1:67" ht="15.75" thickBot="1" x14ac:dyDescent="0.3">
      <c r="A21" s="141" t="str">
        <f>Advancement!A16</f>
        <v>F11</v>
      </c>
      <c r="B21" s="126">
        <f>Advancement!B16</f>
        <v>52363.5</v>
      </c>
      <c r="C21" s="142">
        <f>Advancement!C16</f>
        <v>52392.5</v>
      </c>
      <c r="D21" s="127">
        <f>Advancement!D16</f>
        <v>29</v>
      </c>
      <c r="E21" s="143" t="str">
        <f>Advancement!E16</f>
        <v>F11</v>
      </c>
      <c r="F21" s="129">
        <f>Advancement!F16</f>
        <v>0</v>
      </c>
      <c r="G21" s="130">
        <f>Advancement!G16</f>
        <v>1</v>
      </c>
      <c r="H21" s="130">
        <f>Advancement!H16</f>
        <v>0</v>
      </c>
      <c r="I21" s="131">
        <f>Advancement!I16</f>
        <v>0</v>
      </c>
      <c r="J21" s="132">
        <f>Advancement!J16</f>
        <v>20</v>
      </c>
      <c r="K21" s="133">
        <f>Advancement!K16</f>
        <v>30</v>
      </c>
      <c r="L21" s="134">
        <f>Advancement!L16</f>
        <v>40</v>
      </c>
      <c r="M21" s="132">
        <f>Advancement!M16</f>
        <v>94</v>
      </c>
      <c r="N21" s="133">
        <f>Advancement!N16</f>
        <v>122</v>
      </c>
      <c r="O21" s="135">
        <f>Advancement!O16</f>
        <v>150</v>
      </c>
      <c r="P21" s="136">
        <f>Advancement!P16</f>
        <v>1.85</v>
      </c>
      <c r="Q21" s="137">
        <f>Advancement!Q16</f>
        <v>2.2000000000000002</v>
      </c>
      <c r="R21" s="138">
        <f>Advancement!R16</f>
        <v>2.1</v>
      </c>
      <c r="S21" s="139">
        <f>Advancement!S16</f>
        <v>1.42598</v>
      </c>
      <c r="T21" s="137">
        <f>Advancement!T16</f>
        <v>1.3805500000000002</v>
      </c>
      <c r="U21" s="140">
        <f>Advancement!U16</f>
        <v>1.3351200000000001</v>
      </c>
      <c r="V21" s="136">
        <f>Advancement!V16</f>
        <v>2.2177861363399041</v>
      </c>
      <c r="W21" s="137">
        <f>Advancement!W16</f>
        <v>1.9299438534526638</v>
      </c>
      <c r="X21" s="140">
        <f>Advancement!X16</f>
        <v>1.6931249204212475</v>
      </c>
      <c r="Y21" s="136">
        <f>Advancement!Y16</f>
        <v>1.42598</v>
      </c>
      <c r="Z21" s="137">
        <f>Advancement!Z16</f>
        <v>1.3805500000000002</v>
      </c>
      <c r="AA21" s="140">
        <f>Advancement!AA16</f>
        <v>1.3351200000000001</v>
      </c>
      <c r="AB21" s="136">
        <f>Advancement!AB16</f>
        <v>1.4</v>
      </c>
      <c r="AC21" s="137">
        <f>Advancement!AC16</f>
        <v>1.8</v>
      </c>
      <c r="AD21" s="140">
        <f>Advancement!AD16</f>
        <v>2.1</v>
      </c>
      <c r="AE21" s="136">
        <f>Advancement!AE16</f>
        <v>1.6639492272679806</v>
      </c>
      <c r="AF21" s="137">
        <f>Advancement!AF16</f>
        <v>1.7382087706905331</v>
      </c>
      <c r="AG21" s="138">
        <f>Advancement!AG16</f>
        <v>1.7126729840842496</v>
      </c>
      <c r="AH21" s="285">
        <f t="shared" si="1"/>
        <v>2.5630024116511736E-2</v>
      </c>
      <c r="AI21" s="137">
        <f t="shared" si="0"/>
        <v>2.4535061347427868E-2</v>
      </c>
      <c r="AJ21" s="138">
        <f t="shared" si="0"/>
        <v>2.4900876711342768E-2</v>
      </c>
      <c r="AK21" s="95"/>
      <c r="AL21" s="125">
        <f>Advancement!A148</f>
        <v>30</v>
      </c>
      <c r="AM21" s="126">
        <f>Advancement!B148</f>
        <v>51743</v>
      </c>
      <c r="AN21" s="126">
        <f>Advancement!C148</f>
        <v>51980.5</v>
      </c>
      <c r="AO21" s="182">
        <f>Advancement!D148</f>
        <v>237.5</v>
      </c>
      <c r="AP21" s="128" t="str">
        <f>Advancement!E148</f>
        <v>GB-G-GA-5</v>
      </c>
      <c r="AQ21" s="134">
        <f>Advancement!F148</f>
        <v>2862.5</v>
      </c>
      <c r="AR21" s="136">
        <f>Advancement!G148</f>
        <v>11.640007376348288</v>
      </c>
      <c r="AS21" s="137">
        <f>Advancement!H148</f>
        <v>11.050741139989205</v>
      </c>
      <c r="AT21" s="138">
        <f>Advancement!I148</f>
        <v>10.489280141262489</v>
      </c>
      <c r="AU21" s="285">
        <f>Advancement!J148</f>
        <v>12.771663820991025</v>
      </c>
      <c r="AV21" s="137">
        <f>Advancement!K148</f>
        <v>12.072260401817633</v>
      </c>
      <c r="AW21" s="225">
        <f>Advancement!L148</f>
        <v>11.397358091794526</v>
      </c>
      <c r="AX21" s="285">
        <f>Advancement!M148</f>
        <v>11.707825070502734</v>
      </c>
      <c r="AY21" s="137">
        <f>Advancement!N148</f>
        <v>11.101072311075411</v>
      </c>
      <c r="AZ21" s="333">
        <f>Advancement!O148</f>
        <v>10.512783509308079</v>
      </c>
      <c r="BA21" s="226">
        <f>Advancement!P148</f>
        <v>11.361111111111112</v>
      </c>
      <c r="BB21" s="95"/>
      <c r="BC21" s="95"/>
      <c r="BD21" s="95"/>
      <c r="BE21" s="95"/>
      <c r="BF21" s="95"/>
      <c r="BG21" s="275">
        <f t="shared" ref="BG21:BO21" si="2">$AQ$31/(AR27-AR13)</f>
        <v>147.2847641850426</v>
      </c>
      <c r="BH21" s="276">
        <f t="shared" si="2"/>
        <v>160.84802881356495</v>
      </c>
      <c r="BI21" s="277">
        <f t="shared" si="2"/>
        <v>175.44017823352328</v>
      </c>
      <c r="BJ21" s="278">
        <f t="shared" si="2"/>
        <v>126.85002252565867</v>
      </c>
      <c r="BK21" s="279">
        <f t="shared" si="2"/>
        <v>138.77099517624586</v>
      </c>
      <c r="BL21" s="280">
        <f t="shared" si="2"/>
        <v>151.89696663985006</v>
      </c>
      <c r="BM21" s="281">
        <f t="shared" si="2"/>
        <v>147.46827994660296</v>
      </c>
      <c r="BN21" s="282">
        <f t="shared" si="2"/>
        <v>161.43107944737463</v>
      </c>
      <c r="BO21" s="283">
        <f t="shared" si="2"/>
        <v>176.93862255631913</v>
      </c>
    </row>
    <row r="22" spans="1:67" ht="15" x14ac:dyDescent="0.25">
      <c r="A22" s="125">
        <f>Advancement!A17</f>
        <v>31</v>
      </c>
      <c r="B22" s="126">
        <f>Advancement!B17</f>
        <v>52392.5</v>
      </c>
      <c r="C22" s="142">
        <f>Advancement!C17</f>
        <v>52490.5</v>
      </c>
      <c r="D22" s="127">
        <f>Advancement!D17</f>
        <v>98</v>
      </c>
      <c r="E22" s="143" t="str">
        <f>Advancement!E17</f>
        <v>GB-G-GA-6</v>
      </c>
      <c r="F22" s="144">
        <f>Advancement!F17</f>
        <v>0</v>
      </c>
      <c r="G22" s="145">
        <f>Advancement!G17</f>
        <v>0</v>
      </c>
      <c r="H22" s="145">
        <f>Advancement!H17</f>
        <v>0.5</v>
      </c>
      <c r="I22" s="146">
        <f>Advancement!I17</f>
        <v>0.5</v>
      </c>
      <c r="J22" s="132">
        <f>Advancement!J17</f>
        <v>50</v>
      </c>
      <c r="K22" s="133">
        <f>Advancement!K17</f>
        <v>60</v>
      </c>
      <c r="L22" s="134">
        <f>Advancement!L17</f>
        <v>70</v>
      </c>
      <c r="M22" s="132">
        <f>Advancement!M17</f>
        <v>96</v>
      </c>
      <c r="N22" s="133">
        <f>Advancement!N17</f>
        <v>115</v>
      </c>
      <c r="O22" s="135">
        <f>Advancement!O17</f>
        <v>134</v>
      </c>
      <c r="P22" s="136">
        <f>Advancement!P17</f>
        <v>2</v>
      </c>
      <c r="Q22" s="137">
        <f>Advancement!Q17</f>
        <v>1.8</v>
      </c>
      <c r="R22" s="138">
        <f>Advancement!R17</f>
        <v>1.6</v>
      </c>
      <c r="S22" s="139">
        <f>Advancement!S17</f>
        <v>1.2896900000000002</v>
      </c>
      <c r="T22" s="137">
        <f>Advancement!T17</f>
        <v>1.2442600000000001</v>
      </c>
      <c r="U22" s="140">
        <f>Advancement!U17</f>
        <v>1.1988300000000001</v>
      </c>
      <c r="V22" s="136">
        <f>Advancement!V17</f>
        <v>1.8768299646898461</v>
      </c>
      <c r="W22" s="137">
        <f>Advancement!W17</f>
        <v>1.643091592916315</v>
      </c>
      <c r="X22" s="140">
        <f>Advancement!X17</f>
        <v>1.4359919895479762</v>
      </c>
      <c r="Y22" s="136">
        <f>Advancement!Y17</f>
        <v>1.2896900000000002</v>
      </c>
      <c r="Z22" s="137">
        <f>Advancement!Z17</f>
        <v>1.2442600000000001</v>
      </c>
      <c r="AA22" s="140">
        <f>Advancement!AA17</f>
        <v>1.1988300000000001</v>
      </c>
      <c r="AB22" s="136">
        <f>Advancement!AB17</f>
        <v>2.2999999999999998</v>
      </c>
      <c r="AC22" s="137">
        <f>Advancement!AC17</f>
        <v>2.2999999999999998</v>
      </c>
      <c r="AD22" s="140">
        <f>Advancement!AD17</f>
        <v>2.2000000000000002</v>
      </c>
      <c r="AE22" s="136">
        <f>Advancement!AE17</f>
        <v>1.7512419929379692</v>
      </c>
      <c r="AF22" s="137">
        <f>Advancement!AF17</f>
        <v>1.6463223185832632</v>
      </c>
      <c r="AG22" s="138">
        <f>Advancement!AG17</f>
        <v>1.5267303979095952</v>
      </c>
      <c r="AH22" s="285">
        <f t="shared" si="1"/>
        <v>8.2294535900800742E-2</v>
      </c>
      <c r="AI22" s="137">
        <f t="shared" si="0"/>
        <v>8.7539144329187912E-2</v>
      </c>
      <c r="AJ22" s="138">
        <f t="shared" si="0"/>
        <v>9.4396264891397949E-2</v>
      </c>
      <c r="AK22" s="95"/>
      <c r="AL22" s="141" t="str">
        <f>Advancement!A149</f>
        <v>F9</v>
      </c>
      <c r="AM22" s="142">
        <f>Advancement!B149</f>
        <v>51980.5</v>
      </c>
      <c r="AN22" s="142">
        <f>Advancement!C149</f>
        <v>52003.5</v>
      </c>
      <c r="AO22" s="182">
        <f>Advancement!D149</f>
        <v>23</v>
      </c>
      <c r="AP22" s="143" t="str">
        <f>Advancement!E149</f>
        <v>F9</v>
      </c>
      <c r="AQ22" s="134">
        <f>Advancement!F149</f>
        <v>2885.5</v>
      </c>
      <c r="AR22" s="136">
        <f>Advancement!G149</f>
        <v>11.734929000200744</v>
      </c>
      <c r="AS22" s="137">
        <f>Advancement!H149</f>
        <v>11.144268283286799</v>
      </c>
      <c r="AT22" s="138">
        <f>Advancement!I149</f>
        <v>10.586981259850361</v>
      </c>
      <c r="AU22" s="285">
        <f>Advancement!J149</f>
        <v>12.85943702625706</v>
      </c>
      <c r="AV22" s="137">
        <f>Advancement!K149</f>
        <v>12.158744142965656</v>
      </c>
      <c r="AW22" s="225">
        <f>Advancement!L149</f>
        <v>11.487701471822078</v>
      </c>
      <c r="AX22" s="285">
        <f>Advancement!M149</f>
        <v>11.776318612184323</v>
      </c>
      <c r="AY22" s="137">
        <f>Advancement!N149</f>
        <v>11.16855962353196</v>
      </c>
      <c r="AZ22" s="333">
        <f>Advancement!O149</f>
        <v>10.58328267869374</v>
      </c>
      <c r="BA22" s="226">
        <f>Advancement!P149</f>
        <v>11.412222222222224</v>
      </c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</row>
    <row r="23" spans="1:67" ht="15.75" thickBot="1" x14ac:dyDescent="0.3">
      <c r="A23" s="125" t="str">
        <f>Advancement!A18</f>
        <v>F12</v>
      </c>
      <c r="B23" s="126">
        <f>Advancement!B18</f>
        <v>52490.5</v>
      </c>
      <c r="C23" s="142">
        <f>Advancement!C18</f>
        <v>52511.5</v>
      </c>
      <c r="D23" s="127">
        <f>Advancement!D18</f>
        <v>21</v>
      </c>
      <c r="E23" s="143" t="str">
        <f>Advancement!E18</f>
        <v>F12</v>
      </c>
      <c r="F23" s="129">
        <f>Advancement!F18</f>
        <v>0</v>
      </c>
      <c r="G23" s="130">
        <f>Advancement!G18</f>
        <v>1</v>
      </c>
      <c r="H23" s="130">
        <f>Advancement!H18</f>
        <v>0</v>
      </c>
      <c r="I23" s="131">
        <f>Advancement!I18</f>
        <v>0</v>
      </c>
      <c r="J23" s="132">
        <f>Advancement!J18</f>
        <v>20</v>
      </c>
      <c r="K23" s="133">
        <f>Advancement!K18</f>
        <v>30</v>
      </c>
      <c r="L23" s="134">
        <f>Advancement!L18</f>
        <v>40</v>
      </c>
      <c r="M23" s="132">
        <f>Advancement!M18</f>
        <v>96</v>
      </c>
      <c r="N23" s="133">
        <f>Advancement!N18</f>
        <v>115</v>
      </c>
      <c r="O23" s="135">
        <f>Advancement!O18</f>
        <v>134</v>
      </c>
      <c r="P23" s="136">
        <f>Advancement!P18</f>
        <v>1.85</v>
      </c>
      <c r="Q23" s="137">
        <f>Advancement!Q18</f>
        <v>2.2000000000000002</v>
      </c>
      <c r="R23" s="138">
        <f>Advancement!R18</f>
        <v>2.1</v>
      </c>
      <c r="S23" s="139">
        <f>Advancement!S18</f>
        <v>1.42598</v>
      </c>
      <c r="T23" s="137">
        <f>Advancement!T18</f>
        <v>1.3805500000000002</v>
      </c>
      <c r="U23" s="140">
        <f>Advancement!U18</f>
        <v>1.3351200000000001</v>
      </c>
      <c r="V23" s="136">
        <f>Advancement!V18</f>
        <v>2.2025399646898469</v>
      </c>
      <c r="W23" s="137">
        <f>Advancement!W18</f>
        <v>1.9688015929163147</v>
      </c>
      <c r="X23" s="140">
        <f>Advancement!X18</f>
        <v>1.761701989547976</v>
      </c>
      <c r="Y23" s="136">
        <f>Advancement!Y18</f>
        <v>1.42598</v>
      </c>
      <c r="Z23" s="137">
        <f>Advancement!Z18</f>
        <v>1.3805500000000002</v>
      </c>
      <c r="AA23" s="140">
        <f>Advancement!AA18</f>
        <v>1.3351200000000001</v>
      </c>
      <c r="AB23" s="136">
        <f>Advancement!AB18</f>
        <v>1.4</v>
      </c>
      <c r="AC23" s="137">
        <f>Advancement!AC18</f>
        <v>1.8</v>
      </c>
      <c r="AD23" s="140">
        <f>Advancement!AD18</f>
        <v>2.1</v>
      </c>
      <c r="AE23" s="136">
        <f>Advancement!AE18</f>
        <v>1.6608999929379693</v>
      </c>
      <c r="AF23" s="137">
        <f>Advancement!AF18</f>
        <v>1.745980318583263</v>
      </c>
      <c r="AG23" s="138">
        <f>Advancement!AG18</f>
        <v>1.7263883979095951</v>
      </c>
      <c r="AH23" s="285">
        <f t="shared" si="1"/>
        <v>1.8593746205362201E-2</v>
      </c>
      <c r="AI23" s="137">
        <f t="shared" si="0"/>
        <v>1.7687686746798652E-2</v>
      </c>
      <c r="AJ23" s="138">
        <f t="shared" si="0"/>
        <v>1.7888415479720848E-2</v>
      </c>
      <c r="AK23" s="95"/>
      <c r="AL23" s="141">
        <f>Advancement!A150</f>
        <v>30</v>
      </c>
      <c r="AM23" s="142">
        <f>Advancement!B150</f>
        <v>52003.5</v>
      </c>
      <c r="AN23" s="142">
        <f>Advancement!C150</f>
        <v>52363.5</v>
      </c>
      <c r="AO23" s="182">
        <f>Advancement!D150</f>
        <v>360</v>
      </c>
      <c r="AP23" s="143" t="str">
        <f>Advancement!E150</f>
        <v>GB-G-GA-5</v>
      </c>
      <c r="AQ23" s="134">
        <f>Advancement!F150</f>
        <v>3245.5</v>
      </c>
      <c r="AR23" s="136">
        <f>Advancement!G150</f>
        <v>12.511373988475933</v>
      </c>
      <c r="AS23" s="137">
        <f>Advancement!H150</f>
        <v>11.857944814077467</v>
      </c>
      <c r="AT23" s="138">
        <f>Advancement!I150</f>
        <v>11.251023141680625</v>
      </c>
      <c r="AU23" s="285">
        <f>Advancement!J150</f>
        <v>13.775359768789684</v>
      </c>
      <c r="AV23" s="137">
        <f>Advancement!K150</f>
        <v>13.000622930560176</v>
      </c>
      <c r="AW23" s="225">
        <f>Advancement!L150</f>
        <v>12.271029422606578</v>
      </c>
      <c r="AX23" s="285">
        <f>Advancement!M150</f>
        <v>12.567755767259182</v>
      </c>
      <c r="AY23" s="137">
        <f>Advancement!N150</f>
        <v>11.896016341911182</v>
      </c>
      <c r="AZ23" s="333">
        <f>Advancement!O150</f>
        <v>11.260146366066829</v>
      </c>
      <c r="BA23" s="226">
        <f>Advancement!P150</f>
        <v>12.212222222222225</v>
      </c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</row>
    <row r="24" spans="1:67" ht="15.75" thickBot="1" x14ac:dyDescent="0.3">
      <c r="A24" s="147">
        <f>Advancement!A19</f>
        <v>31</v>
      </c>
      <c r="B24" s="148">
        <f>Advancement!B19</f>
        <v>52511.5</v>
      </c>
      <c r="C24" s="148">
        <f>Advancement!C19</f>
        <v>52622.5</v>
      </c>
      <c r="D24" s="127">
        <f>Advancement!D19</f>
        <v>111</v>
      </c>
      <c r="E24" s="149" t="str">
        <f>Advancement!E19</f>
        <v>GB-G-GA-6</v>
      </c>
      <c r="F24" s="150">
        <f>Advancement!F19</f>
        <v>0</v>
      </c>
      <c r="G24" s="151">
        <f>Advancement!G19</f>
        <v>0</v>
      </c>
      <c r="H24" s="151">
        <f>Advancement!H19</f>
        <v>0.5</v>
      </c>
      <c r="I24" s="152">
        <f>Advancement!I19</f>
        <v>0.5</v>
      </c>
      <c r="J24" s="153">
        <f>Advancement!J19</f>
        <v>50</v>
      </c>
      <c r="K24" s="154">
        <f>Advancement!K19</f>
        <v>60</v>
      </c>
      <c r="L24" s="155">
        <f>Advancement!L19</f>
        <v>70</v>
      </c>
      <c r="M24" s="153">
        <f>Advancement!M19</f>
        <v>96</v>
      </c>
      <c r="N24" s="154">
        <f>Advancement!N19</f>
        <v>115</v>
      </c>
      <c r="O24" s="156">
        <f>Advancement!O19</f>
        <v>134</v>
      </c>
      <c r="P24" s="157">
        <f>Advancement!P19</f>
        <v>2</v>
      </c>
      <c r="Q24" s="158">
        <f>Advancement!Q19</f>
        <v>1.8</v>
      </c>
      <c r="R24" s="159">
        <f>Advancement!R19</f>
        <v>1.6</v>
      </c>
      <c r="S24" s="160">
        <f>Advancement!S19</f>
        <v>1.2896900000000002</v>
      </c>
      <c r="T24" s="158">
        <f>Advancement!T19</f>
        <v>1.2442600000000001</v>
      </c>
      <c r="U24" s="161">
        <f>Advancement!U19</f>
        <v>1.1988300000000001</v>
      </c>
      <c r="V24" s="157">
        <f>Advancement!V19</f>
        <v>1.8768299646898461</v>
      </c>
      <c r="W24" s="158">
        <f>Advancement!W19</f>
        <v>1.643091592916315</v>
      </c>
      <c r="X24" s="161">
        <f>Advancement!X19</f>
        <v>1.4359919895479762</v>
      </c>
      <c r="Y24" s="157">
        <f>Advancement!Y19</f>
        <v>1.2896900000000002</v>
      </c>
      <c r="Z24" s="158">
        <f>Advancement!Z19</f>
        <v>1.2442600000000001</v>
      </c>
      <c r="AA24" s="161">
        <f>Advancement!AA19</f>
        <v>1.1988300000000001</v>
      </c>
      <c r="AB24" s="157">
        <f>Advancement!AB19</f>
        <v>2.2999999999999998</v>
      </c>
      <c r="AC24" s="158">
        <f>Advancement!AC19</f>
        <v>2.2999999999999998</v>
      </c>
      <c r="AD24" s="161">
        <f>Advancement!AD19</f>
        <v>2.2000000000000002</v>
      </c>
      <c r="AE24" s="157">
        <f>Advancement!AE19</f>
        <v>1.7512419929379692</v>
      </c>
      <c r="AF24" s="158">
        <f>Advancement!AF19</f>
        <v>1.6463223185832632</v>
      </c>
      <c r="AG24" s="159">
        <f>Advancement!AG19</f>
        <v>1.5267303979095952</v>
      </c>
      <c r="AH24" s="157">
        <f t="shared" si="1"/>
        <v>9.3211158010090639E-2</v>
      </c>
      <c r="AI24" s="158">
        <f t="shared" si="0"/>
        <v>9.9151479801427092E-2</v>
      </c>
      <c r="AJ24" s="159">
        <f t="shared" si="0"/>
        <v>0.10691821839739973</v>
      </c>
      <c r="AK24" s="95"/>
      <c r="AL24" s="141" t="str">
        <f>Advancement!A151</f>
        <v>F11</v>
      </c>
      <c r="AM24" s="142">
        <f>Advancement!B151</f>
        <v>52363.5</v>
      </c>
      <c r="AN24" s="142">
        <f>Advancement!C151</f>
        <v>52392.5</v>
      </c>
      <c r="AO24" s="182">
        <f>Advancement!D151</f>
        <v>29</v>
      </c>
      <c r="AP24" s="143" t="str">
        <f>Advancement!E151</f>
        <v>F11</v>
      </c>
      <c r="AQ24" s="134">
        <f>Advancement!F151</f>
        <v>3274.5</v>
      </c>
      <c r="AR24" s="136">
        <f>Advancement!G151</f>
        <v>12.631057775072508</v>
      </c>
      <c r="AS24" s="137">
        <f>Advancement!H151</f>
        <v>11.975870342583129</v>
      </c>
      <c r="AT24" s="138">
        <f>Advancement!I151</f>
        <v>11.374211508595767</v>
      </c>
      <c r="AU24" s="285">
        <f>Advancement!J151</f>
        <v>13.886030331951208</v>
      </c>
      <c r="AV24" s="137">
        <f>Advancement!K151</f>
        <v>13.109667647659856</v>
      </c>
      <c r="AW24" s="225">
        <f>Advancement!L151</f>
        <v>12.384940640902185</v>
      </c>
      <c r="AX24" s="285">
        <f>Advancement!M151</f>
        <v>12.654117189379447</v>
      </c>
      <c r="AY24" s="137">
        <f>Advancement!N151</f>
        <v>11.981109040225959</v>
      </c>
      <c r="AZ24" s="333">
        <f>Advancement!O151</f>
        <v>11.349036623118314</v>
      </c>
      <c r="BA24" s="226">
        <f>Advancement!P151</f>
        <v>12.276666666666669</v>
      </c>
      <c r="BB24" s="95"/>
      <c r="BC24" s="95"/>
      <c r="BD24" s="95"/>
      <c r="BE24" s="95"/>
      <c r="BF24" s="95"/>
      <c r="BG24" s="95"/>
      <c r="BH24" s="95"/>
      <c r="BI24" s="636" t="s">
        <v>129</v>
      </c>
      <c r="BJ24" s="637"/>
      <c r="BK24" s="556"/>
      <c r="BL24" s="95"/>
      <c r="BM24" s="95"/>
      <c r="BN24" s="95"/>
      <c r="BO24" s="95"/>
    </row>
    <row r="25" spans="1:67" ht="15.75" thickBot="1" x14ac:dyDescent="0.3">
      <c r="A25" s="162"/>
      <c r="B25" s="163"/>
      <c r="C25" s="163"/>
      <c r="D25" s="164">
        <f>SUM(D11:D24)</f>
        <v>3504.5</v>
      </c>
      <c r="E25" s="162"/>
      <c r="F25" s="165"/>
      <c r="G25" s="165"/>
      <c r="H25" s="165"/>
      <c r="I25" s="165"/>
      <c r="J25" s="166"/>
      <c r="K25" s="166"/>
      <c r="L25" s="166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89" t="s">
        <v>83</v>
      </c>
      <c r="AD25" s="190" t="s">
        <v>62</v>
      </c>
      <c r="AE25" s="191">
        <f>SUM(AH11:AH24)</f>
        <v>2.9860381172461063</v>
      </c>
      <c r="AF25" s="398">
        <f>SUM(AI11:AI24)</f>
        <v>3.2870356364442164</v>
      </c>
      <c r="AG25" s="191">
        <f>SUM(AJ11:AJ24)</f>
        <v>3.6058252456501414</v>
      </c>
      <c r="AH25" s="95"/>
      <c r="AI25" s="95"/>
      <c r="AJ25" s="95"/>
      <c r="AK25" s="95"/>
      <c r="AL25" s="141">
        <f>Advancement!A152</f>
        <v>31</v>
      </c>
      <c r="AM25" s="142">
        <f>Advancement!B152</f>
        <v>52392.5</v>
      </c>
      <c r="AN25" s="142">
        <f>Advancement!C152</f>
        <v>52490.5</v>
      </c>
      <c r="AO25" s="182">
        <f>Advancement!D152</f>
        <v>98</v>
      </c>
      <c r="AP25" s="143" t="str">
        <f>Advancement!E152</f>
        <v>GB-G-GA-6</v>
      </c>
      <c r="AQ25" s="134">
        <f>Advancement!F152</f>
        <v>3372.5</v>
      </c>
      <c r="AR25" s="136">
        <f>Advancement!G152</f>
        <v>12.848811557982307</v>
      </c>
      <c r="AS25" s="137">
        <f>Advancement!H152</f>
        <v>12.177806084980332</v>
      </c>
      <c r="AT25" s="138">
        <f>Advancement!I152</f>
        <v>11.56404896165413</v>
      </c>
      <c r="AU25" s="285">
        <f>Advancement!J152</f>
        <v>14.13636296812729</v>
      </c>
      <c r="AV25" s="137">
        <f>Advancement!K152</f>
        <v>13.341815654720687</v>
      </c>
      <c r="AW25" s="225">
        <f>Advancement!L152</f>
        <v>12.603180294119777</v>
      </c>
      <c r="AX25" s="285">
        <f>Advancement!M152</f>
        <v>12.867509059777584</v>
      </c>
      <c r="AY25" s="137">
        <f>Advancement!N152</f>
        <v>12.178999727563527</v>
      </c>
      <c r="AZ25" s="333">
        <f>Advancement!O152</f>
        <v>11.535071366755917</v>
      </c>
      <c r="BA25" s="226">
        <f>Advancement!P152</f>
        <v>12.494444444444447</v>
      </c>
      <c r="BB25" s="95"/>
      <c r="BC25" s="95"/>
      <c r="BD25" s="95"/>
      <c r="BE25" s="95"/>
      <c r="BF25" s="95"/>
      <c r="BG25" s="95"/>
      <c r="BH25" s="95"/>
      <c r="BI25" s="346" t="s">
        <v>121</v>
      </c>
      <c r="BJ25" s="289" t="s">
        <v>120</v>
      </c>
      <c r="BK25" s="290" t="s">
        <v>128</v>
      </c>
      <c r="BL25" s="95"/>
      <c r="BM25" s="95"/>
      <c r="BN25" s="95"/>
      <c r="BO25" s="95"/>
    </row>
    <row r="26" spans="1:67" ht="12" customHeight="1" thickBot="1" x14ac:dyDescent="0.3">
      <c r="A26" s="95"/>
      <c r="B26" s="95"/>
      <c r="C26" s="95"/>
      <c r="D26" s="95"/>
      <c r="E26" s="95"/>
      <c r="F26" s="95"/>
      <c r="G26" s="95"/>
      <c r="H26" s="95"/>
      <c r="I26" s="95"/>
      <c r="J26" s="167"/>
      <c r="K26" s="167"/>
      <c r="L26" s="167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89" t="s">
        <v>84</v>
      </c>
      <c r="AD26" s="194" t="s">
        <v>64</v>
      </c>
      <c r="AE26" s="234">
        <f>$D$25/AE25</f>
        <v>1173.6286887161536</v>
      </c>
      <c r="AF26" s="399">
        <f t="shared" ref="AF26:AG26" si="3">$D$25/AF25</f>
        <v>1066.1582007644517</v>
      </c>
      <c r="AG26" s="234">
        <f t="shared" si="3"/>
        <v>971.89956840743343</v>
      </c>
      <c r="AH26" s="95"/>
      <c r="AI26" s="95"/>
      <c r="AJ26" s="95"/>
      <c r="AK26" s="95"/>
      <c r="AL26" s="141" t="str">
        <f>Advancement!A153</f>
        <v>F12</v>
      </c>
      <c r="AM26" s="142">
        <f>Advancement!B153</f>
        <v>52490.5</v>
      </c>
      <c r="AN26" s="142">
        <f>Advancement!C153</f>
        <v>52511.5</v>
      </c>
      <c r="AO26" s="182">
        <f>Advancement!D153</f>
        <v>21</v>
      </c>
      <c r="AP26" s="143" t="str">
        <f>Advancement!E153</f>
        <v>F12</v>
      </c>
      <c r="AQ26" s="134">
        <f>Advancement!F153</f>
        <v>3393.5</v>
      </c>
      <c r="AR26" s="136">
        <f>Advancement!G153</f>
        <v>12.934790590995652</v>
      </c>
      <c r="AS26" s="137">
        <f>Advancement!H153</f>
        <v>12.262820333696588</v>
      </c>
      <c r="AT26" s="138">
        <f>Advancement!I153</f>
        <v>11.653418102294056</v>
      </c>
      <c r="AU26" s="285">
        <f>Advancement!J153</f>
        <v>14.215867036926049</v>
      </c>
      <c r="AV26" s="137">
        <f>Advancement!K153</f>
        <v>13.42042759581757</v>
      </c>
      <c r="AW26" s="225">
        <f>Advancement!L153</f>
        <v>12.685819166143609</v>
      </c>
      <c r="AX26" s="285">
        <f>Advancement!M153</f>
        <v>12.929549807106095</v>
      </c>
      <c r="AY26" s="137">
        <f>Advancement!N153</f>
        <v>12.240344305876123</v>
      </c>
      <c r="AZ26" s="333">
        <f>Advancement!O153</f>
        <v>11.599558347814977</v>
      </c>
      <c r="BA26" s="226">
        <f>Advancement!P153</f>
        <v>12.541111111111114</v>
      </c>
      <c r="BB26" s="95"/>
      <c r="BC26" s="95"/>
      <c r="BD26" s="95"/>
      <c r="BE26" s="95"/>
      <c r="BF26" s="95"/>
      <c r="BG26" s="95"/>
      <c r="BH26" s="95"/>
      <c r="BI26" s="292" t="s">
        <v>62</v>
      </c>
      <c r="BJ26" s="293" t="s">
        <v>62</v>
      </c>
      <c r="BK26" s="294" t="s">
        <v>62</v>
      </c>
      <c r="BL26" s="95"/>
      <c r="BM26" s="95"/>
      <c r="BN26" s="95"/>
      <c r="BO26" s="95"/>
    </row>
    <row r="27" spans="1:67" ht="12" customHeight="1" thickBot="1" x14ac:dyDescent="0.3">
      <c r="AL27" s="141">
        <f>Advancement!A154</f>
        <v>31</v>
      </c>
      <c r="AM27" s="142">
        <f>Advancement!B154</f>
        <v>52511.5</v>
      </c>
      <c r="AN27" s="142">
        <f>Advancement!C154</f>
        <v>52622.5</v>
      </c>
      <c r="AO27" s="182">
        <f>Advancement!D154</f>
        <v>111</v>
      </c>
      <c r="AP27" s="143" t="str">
        <f>Advancement!E154</f>
        <v>GB-G-GA-6</v>
      </c>
      <c r="AQ27" s="134">
        <f>Advancement!F154</f>
        <v>3504.5</v>
      </c>
      <c r="AR27" s="136">
        <f>Advancement!G154</f>
        <v>13.181430079801649</v>
      </c>
      <c r="AS27" s="137">
        <f>Advancement!H154</f>
        <v>12.49154347049342</v>
      </c>
      <c r="AT27" s="138">
        <f>Advancement!I154</f>
        <v>11.868438074635673</v>
      </c>
      <c r="AU27" s="285">
        <f>Advancement!J154</f>
        <v>14.499407063615285</v>
      </c>
      <c r="AV27" s="137">
        <f>Advancement!K154</f>
        <v>13.683370746672184</v>
      </c>
      <c r="AW27" s="225">
        <f>Advancement!L154</f>
        <v>12.933008977441087</v>
      </c>
      <c r="AX27" s="285">
        <f>Advancement!M154</f>
        <v>13.171248762352965</v>
      </c>
      <c r="AY27" s="137">
        <f>Advancement!N154</f>
        <v>12.464485798676836</v>
      </c>
      <c r="AZ27" s="333">
        <f>Advancement!O154</f>
        <v>11.810271169690221</v>
      </c>
      <c r="BA27" s="226">
        <f>Advancement!P154</f>
        <v>12.78777777777778</v>
      </c>
      <c r="BB27" s="95"/>
      <c r="BC27" s="95"/>
      <c r="BD27" s="95"/>
      <c r="BE27" s="95"/>
      <c r="BF27" s="95"/>
      <c r="BG27" s="95"/>
      <c r="BH27" s="95"/>
      <c r="BI27" s="328">
        <f>AV45-AS45</f>
        <v>3.6005120341019392</v>
      </c>
      <c r="BJ27" s="329">
        <f>AY45-AS45</f>
        <v>1.9213387066512801</v>
      </c>
      <c r="BK27" s="330">
        <f>AV45-AY45</f>
        <v>1.6791733274506591</v>
      </c>
      <c r="BL27" s="95"/>
      <c r="BM27" s="95"/>
      <c r="BN27" s="95"/>
      <c r="BO27" s="95"/>
    </row>
    <row r="28" spans="1:67" ht="12" customHeight="1" x14ac:dyDescent="0.25">
      <c r="A28" s="607" t="s">
        <v>212</v>
      </c>
      <c r="B28" s="607"/>
      <c r="C28" s="607"/>
      <c r="D28" s="607"/>
      <c r="E28" s="607"/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AL28" s="141" t="str">
        <f>Advancement!A155</f>
        <v>Smont + Trasp</v>
      </c>
      <c r="AM28" s="142"/>
      <c r="AN28" s="142">
        <f>Advancement!C155</f>
        <v>52622.5</v>
      </c>
      <c r="AO28" s="182"/>
      <c r="AP28" s="130"/>
      <c r="AQ28" s="134"/>
      <c r="AR28" s="136">
        <f>Advancement!G155</f>
        <v>16.18143007980165</v>
      </c>
      <c r="AS28" s="137">
        <f>Advancement!H155</f>
        <v>15.49154347049342</v>
      </c>
      <c r="AT28" s="138">
        <f>Advancement!I155</f>
        <v>14.868438074635673</v>
      </c>
      <c r="AU28" s="136">
        <f>Advancement!J155</f>
        <v>17.699407063615286</v>
      </c>
      <c r="AV28" s="137">
        <f>Advancement!K155</f>
        <v>16.883370746672185</v>
      </c>
      <c r="AW28" s="138">
        <f>Advancement!L155</f>
        <v>16.133008977441087</v>
      </c>
      <c r="AX28" s="136">
        <f>Advancement!M155</f>
        <v>16.671248762352967</v>
      </c>
      <c r="AY28" s="137">
        <f>Advancement!N155</f>
        <v>15.964485798676836</v>
      </c>
      <c r="AZ28" s="140">
        <f>Advancement!O155</f>
        <v>15.310271169690221</v>
      </c>
      <c r="BA28" s="226">
        <f>Advancement!P155</f>
        <v>15.78777777777778</v>
      </c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</row>
    <row r="29" spans="1:67" ht="12.75" customHeight="1" thickBot="1" x14ac:dyDescent="0.3">
      <c r="A29" s="607"/>
      <c r="B29" s="607"/>
      <c r="C29" s="607"/>
      <c r="D29" s="607"/>
      <c r="E29" s="607"/>
      <c r="F29" s="607"/>
      <c r="G29" s="607"/>
      <c r="H29" s="607"/>
      <c r="I29" s="607"/>
      <c r="J29" s="607"/>
      <c r="K29" s="607"/>
      <c r="L29" s="607"/>
      <c r="M29" s="607"/>
      <c r="N29" s="607"/>
      <c r="O29" s="607"/>
      <c r="AL29" s="141" t="str">
        <f>Advancement!A156</f>
        <v>Rimontaggio</v>
      </c>
      <c r="AM29" s="142"/>
      <c r="AN29" s="142">
        <f>Advancement!C156</f>
        <v>49267</v>
      </c>
      <c r="AO29" s="182"/>
      <c r="AP29" s="130"/>
      <c r="AQ29" s="134"/>
      <c r="AR29" s="136">
        <f>Advancement!G156</f>
        <v>16.18143007980165</v>
      </c>
      <c r="AS29" s="137">
        <f>Advancement!H156</f>
        <v>15.49154347049342</v>
      </c>
      <c r="AT29" s="138">
        <f>Advancement!I156</f>
        <v>14.868438074635673</v>
      </c>
      <c r="AU29" s="136">
        <f>Advancement!J156</f>
        <v>17.699407063615286</v>
      </c>
      <c r="AV29" s="137">
        <f>Advancement!K156</f>
        <v>16.883370746672185</v>
      </c>
      <c r="AW29" s="138">
        <f>Advancement!L156</f>
        <v>16.133008977441087</v>
      </c>
      <c r="AX29" s="136">
        <f>Advancement!M156</f>
        <v>16.671248762352967</v>
      </c>
      <c r="AY29" s="137">
        <f>Advancement!N156</f>
        <v>15.964485798676836</v>
      </c>
      <c r="AZ29" s="140">
        <f>Advancement!O156</f>
        <v>15.310271169690221</v>
      </c>
      <c r="BA29" s="226">
        <f>Advancement!P156</f>
        <v>15.78777777777778</v>
      </c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</row>
    <row r="30" spans="1:67" ht="12" customHeight="1" thickBot="1" x14ac:dyDescent="0.3">
      <c r="A30" s="577" t="s">
        <v>0</v>
      </c>
      <c r="B30" s="578"/>
      <c r="C30" s="578"/>
      <c r="D30" s="578"/>
      <c r="E30" s="578"/>
      <c r="F30" s="578"/>
      <c r="G30" s="578"/>
      <c r="H30" s="578"/>
      <c r="I30" s="579"/>
      <c r="J30" s="167"/>
      <c r="K30" s="167"/>
      <c r="L30" s="167"/>
      <c r="M30" s="167"/>
      <c r="N30" s="95"/>
      <c r="O30" s="95"/>
      <c r="P30" s="95"/>
      <c r="Q30" s="95"/>
      <c r="R30" s="95"/>
      <c r="S30" s="95"/>
      <c r="T30" s="95"/>
      <c r="U30" s="95"/>
      <c r="AL30" s="125">
        <f>Advancement!A157</f>
        <v>0</v>
      </c>
      <c r="AM30" s="126"/>
      <c r="AN30" s="126">
        <f>Advancement!C157</f>
        <v>49267</v>
      </c>
      <c r="AO30" s="182"/>
      <c r="AP30" s="130"/>
      <c r="AQ30" s="134"/>
      <c r="AR30" s="136">
        <f>Advancement!G157</f>
        <v>18.18143007980165</v>
      </c>
      <c r="AS30" s="137">
        <f>Advancement!H157</f>
        <v>17.491543470493419</v>
      </c>
      <c r="AT30" s="138">
        <f>Advancement!I157</f>
        <v>16.868438074635673</v>
      </c>
      <c r="AU30" s="136">
        <f>Advancement!J157</f>
        <v>20.499407063615287</v>
      </c>
      <c r="AV30" s="137">
        <f>Advancement!K157</f>
        <v>19.683370746672185</v>
      </c>
      <c r="AW30" s="138">
        <f>Advancement!L157</f>
        <v>18.933008977441087</v>
      </c>
      <c r="AX30" s="136">
        <f>Advancement!M157</f>
        <v>19.671248762352967</v>
      </c>
      <c r="AY30" s="137">
        <f>Advancement!N157</f>
        <v>18.964485798676836</v>
      </c>
      <c r="AZ30" s="140">
        <f>Advancement!O157</f>
        <v>18.310271169690221</v>
      </c>
      <c r="BA30" s="226">
        <f>Advancement!P157</f>
        <v>17.78777777777778</v>
      </c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</row>
    <row r="31" spans="1:67" ht="12" customHeight="1" thickBot="1" x14ac:dyDescent="0.3">
      <c r="A31" s="543" t="str">
        <f>Advancement!A23</f>
        <v>Formazione</v>
      </c>
      <c r="B31" s="546" t="s">
        <v>19</v>
      </c>
      <c r="C31" s="546" t="s">
        <v>20</v>
      </c>
      <c r="D31" s="549" t="s">
        <v>4</v>
      </c>
      <c r="E31" s="552" t="s">
        <v>104</v>
      </c>
      <c r="F31" s="580" t="s">
        <v>5</v>
      </c>
      <c r="G31" s="581"/>
      <c r="H31" s="581"/>
      <c r="I31" s="582"/>
      <c r="J31" s="95"/>
      <c r="K31" s="95"/>
      <c r="L31" s="95"/>
      <c r="M31" s="533" t="s">
        <v>1</v>
      </c>
      <c r="N31" s="534"/>
      <c r="O31" s="535"/>
      <c r="P31" s="533" t="s">
        <v>50</v>
      </c>
      <c r="Q31" s="534"/>
      <c r="R31" s="535"/>
      <c r="S31" s="533" t="s">
        <v>51</v>
      </c>
      <c r="T31" s="534"/>
      <c r="U31" s="535"/>
      <c r="AL31" s="227">
        <f>Advancement!A158</f>
        <v>26</v>
      </c>
      <c r="AM31" s="218">
        <f>Advancement!B158</f>
        <v>49267</v>
      </c>
      <c r="AN31" s="218">
        <f>Advancement!C158</f>
        <v>50323</v>
      </c>
      <c r="AO31" s="182">
        <f>Advancement!D158</f>
        <v>1056</v>
      </c>
      <c r="AP31" s="228" t="str">
        <f>Advancement!E158</f>
        <v>GB-G-GA-1</v>
      </c>
      <c r="AQ31" s="134">
        <f>Advancement!F158</f>
        <v>1205</v>
      </c>
      <c r="AR31" s="136">
        <f>Advancement!G158</f>
        <v>20.512323556561817</v>
      </c>
      <c r="AS31" s="139">
        <f>Advancement!H158</f>
        <v>19.604688246309095</v>
      </c>
      <c r="AT31" s="225">
        <f>Advancement!I158</f>
        <v>18.73532128530675</v>
      </c>
      <c r="AU31" s="136">
        <f>Advancement!J158</f>
        <v>23.298621466807958</v>
      </c>
      <c r="AV31" s="139">
        <f>Advancement!K158</f>
        <v>22.221086584599007</v>
      </c>
      <c r="AW31" s="225">
        <f>Advancement!L158</f>
        <v>21.174984608027469</v>
      </c>
      <c r="AX31" s="136">
        <f>Advancement!M158</f>
        <v>22.113684706938777</v>
      </c>
      <c r="AY31" s="139">
        <f>Advancement!N158</f>
        <v>21.178752906129464</v>
      </c>
      <c r="AZ31" s="333">
        <f>Advancement!O158</f>
        <v>20.266492122534721</v>
      </c>
      <c r="BA31" s="226">
        <f>Advancement!P158</f>
        <v>20.134444444444448</v>
      </c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</row>
    <row r="32" spans="1:67" ht="12" customHeight="1" thickBot="1" x14ac:dyDescent="0.3">
      <c r="A32" s="543"/>
      <c r="B32" s="546"/>
      <c r="C32" s="546"/>
      <c r="D32" s="549"/>
      <c r="E32" s="552"/>
      <c r="F32" s="583" t="s">
        <v>26</v>
      </c>
      <c r="G32" s="584"/>
      <c r="H32" s="584"/>
      <c r="I32" s="585"/>
      <c r="J32" s="533" t="s">
        <v>47</v>
      </c>
      <c r="K32" s="534"/>
      <c r="L32" s="535"/>
      <c r="M32" s="541" t="s">
        <v>61</v>
      </c>
      <c r="N32" s="539"/>
      <c r="O32" s="540"/>
      <c r="P32" s="541" t="s">
        <v>61</v>
      </c>
      <c r="Q32" s="539"/>
      <c r="R32" s="540"/>
      <c r="S32" s="541" t="s">
        <v>61</v>
      </c>
      <c r="T32" s="539"/>
      <c r="U32" s="540"/>
      <c r="AL32" s="227">
        <f>Advancement!A159</f>
        <v>27</v>
      </c>
      <c r="AM32" s="218">
        <f>Advancement!B159</f>
        <v>50323</v>
      </c>
      <c r="AN32" s="218">
        <f>Advancement!C159</f>
        <v>50395</v>
      </c>
      <c r="AO32" s="182">
        <f>Advancement!D159</f>
        <v>72</v>
      </c>
      <c r="AP32" s="228" t="str">
        <f>Advancement!E159</f>
        <v>GB-G-GA-2</v>
      </c>
      <c r="AQ32" s="134">
        <f>Advancement!F159</f>
        <v>1277</v>
      </c>
      <c r="AR32" s="136">
        <f>Advancement!G159</f>
        <v>20.688247833530244</v>
      </c>
      <c r="AS32" s="139">
        <f>Advancement!H159</f>
        <v>19.768293237750701</v>
      </c>
      <c r="AT32" s="225">
        <f>Advancement!I159</f>
        <v>18.894879354866582</v>
      </c>
      <c r="AU32" s="136">
        <f>Advancement!J159</f>
        <v>23.491011705544935</v>
      </c>
      <c r="AV32" s="139">
        <f>Advancement!K159</f>
        <v>22.400004491237102</v>
      </c>
      <c r="AW32" s="225">
        <f>Advancement!L159</f>
        <v>21.349476813560514</v>
      </c>
      <c r="AX32" s="136">
        <f>Advancement!M159</f>
        <v>22.273839540097089</v>
      </c>
      <c r="AY32" s="139">
        <f>Advancement!N159</f>
        <v>21.327692725918521</v>
      </c>
      <c r="AZ32" s="333">
        <f>Advancement!O159</f>
        <v>20.411747777125267</v>
      </c>
      <c r="BA32" s="226">
        <f>Advancement!P159</f>
        <v>20.294444444444448</v>
      </c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</row>
    <row r="33" spans="1:67" ht="12" customHeight="1" thickBot="1" x14ac:dyDescent="0.3">
      <c r="A33" s="543"/>
      <c r="B33" s="546"/>
      <c r="C33" s="546"/>
      <c r="D33" s="549"/>
      <c r="E33" s="552"/>
      <c r="F33" s="96" t="s">
        <v>6</v>
      </c>
      <c r="G33" s="97" t="s">
        <v>7</v>
      </c>
      <c r="H33" s="97" t="s">
        <v>8</v>
      </c>
      <c r="I33" s="98" t="s">
        <v>9</v>
      </c>
      <c r="J33" s="168" t="s">
        <v>60</v>
      </c>
      <c r="K33" s="169" t="s">
        <v>21</v>
      </c>
      <c r="L33" s="170" t="s">
        <v>2</v>
      </c>
      <c r="M33" s="171" t="s">
        <v>37</v>
      </c>
      <c r="N33" s="172" t="s">
        <v>23</v>
      </c>
      <c r="O33" s="173" t="s">
        <v>38</v>
      </c>
      <c r="P33" s="171" t="s">
        <v>37</v>
      </c>
      <c r="Q33" s="172" t="s">
        <v>23</v>
      </c>
      <c r="R33" s="173" t="s">
        <v>38</v>
      </c>
      <c r="S33" s="171" t="s">
        <v>37</v>
      </c>
      <c r="T33" s="172" t="s">
        <v>23</v>
      </c>
      <c r="U33" s="174" t="s">
        <v>38</v>
      </c>
      <c r="AL33" s="227">
        <f>Advancement!A160</f>
        <v>28</v>
      </c>
      <c r="AM33" s="218">
        <f>Advancement!B160</f>
        <v>50395</v>
      </c>
      <c r="AN33" s="218">
        <f>Advancement!C160</f>
        <v>51494.5</v>
      </c>
      <c r="AO33" s="182">
        <f>Advancement!D160</f>
        <v>1099.5</v>
      </c>
      <c r="AP33" s="228" t="str">
        <f>Advancement!E160</f>
        <v>GB-G-GA-3</v>
      </c>
      <c r="AQ33" s="134">
        <f>Advancement!F160</f>
        <v>2376.5</v>
      </c>
      <c r="AR33" s="136">
        <f>Advancement!G160</f>
        <v>23.226613208795996</v>
      </c>
      <c r="AS33" s="139">
        <f>Advancement!H160</f>
        <v>22.048858256497677</v>
      </c>
      <c r="AT33" s="225">
        <f>Advancement!I160</f>
        <v>20.929785934593944</v>
      </c>
      <c r="AU33" s="136">
        <f>Advancement!J160</f>
        <v>26.503654155170686</v>
      </c>
      <c r="AV33" s="139">
        <f>Advancement!K160</f>
        <v>25.106678263088952</v>
      </c>
      <c r="AW33" s="225">
        <f>Advancement!L160</f>
        <v>23.764592463515982</v>
      </c>
      <c r="AX33" s="136">
        <f>Advancement!M160</f>
        <v>24.885596868417437</v>
      </c>
      <c r="AY33" s="139">
        <f>Advancement!N160</f>
        <v>23.674195896211671</v>
      </c>
      <c r="AZ33" s="333">
        <f>Advancement!O160</f>
        <v>22.505489767083596</v>
      </c>
      <c r="BA33" s="226">
        <f>Advancement!P160</f>
        <v>22.737777777777779</v>
      </c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</row>
    <row r="34" spans="1:67" ht="12" customHeight="1" thickBot="1" x14ac:dyDescent="0.3">
      <c r="A34" s="544"/>
      <c r="B34" s="547"/>
      <c r="C34" s="547"/>
      <c r="D34" s="550"/>
      <c r="E34" s="553"/>
      <c r="F34" s="175" t="s">
        <v>44</v>
      </c>
      <c r="G34" s="176" t="s">
        <v>10</v>
      </c>
      <c r="H34" s="176" t="s">
        <v>11</v>
      </c>
      <c r="I34" s="177" t="s">
        <v>12</v>
      </c>
      <c r="J34" s="586" t="s">
        <v>48</v>
      </c>
      <c r="K34" s="587"/>
      <c r="L34" s="588"/>
      <c r="M34" s="574" t="s">
        <v>64</v>
      </c>
      <c r="N34" s="575"/>
      <c r="O34" s="576"/>
      <c r="P34" s="574" t="s">
        <v>64</v>
      </c>
      <c r="Q34" s="575"/>
      <c r="R34" s="576"/>
      <c r="S34" s="574" t="s">
        <v>64</v>
      </c>
      <c r="T34" s="575"/>
      <c r="U34" s="576"/>
      <c r="AL34" s="227" t="str">
        <f>Advancement!A161</f>
        <v>F4</v>
      </c>
      <c r="AM34" s="218">
        <f>Advancement!B161</f>
        <v>51494.5</v>
      </c>
      <c r="AN34" s="218">
        <f>Advancement!C161</f>
        <v>51505.5</v>
      </c>
      <c r="AO34" s="182">
        <f>Advancement!D161</f>
        <v>11</v>
      </c>
      <c r="AP34" s="228" t="str">
        <f>Advancement!E161</f>
        <v>F4</v>
      </c>
      <c r="AQ34" s="134">
        <f>Advancement!F161</f>
        <v>2387.5</v>
      </c>
      <c r="AR34" s="136">
        <f>Advancement!G161</f>
        <v>23.272172620582996</v>
      </c>
      <c r="AS34" s="139">
        <f>Advancement!H161</f>
        <v>22.093824004635824</v>
      </c>
      <c r="AT34" s="225">
        <f>Advancement!I161</f>
        <v>20.976920159562958</v>
      </c>
      <c r="AU34" s="136">
        <f>Advancement!J161</f>
        <v>26.545782549526812</v>
      </c>
      <c r="AV34" s="139">
        <f>Advancement!K161</f>
        <v>25.148257701799409</v>
      </c>
      <c r="AW34" s="225">
        <f>Advancement!L161</f>
        <v>23.808177074012022</v>
      </c>
      <c r="AX34" s="136">
        <f>Advancement!M161</f>
        <v>24.918471627019038</v>
      </c>
      <c r="AY34" s="139">
        <f>Advancement!N161</f>
        <v>23.706642279020411</v>
      </c>
      <c r="AZ34" s="333">
        <f>Advancement!O161</f>
        <v>22.539500879320389</v>
      </c>
      <c r="BA34" s="226">
        <f>Advancement!P161</f>
        <v>22.762222222222224</v>
      </c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</row>
    <row r="35" spans="1:67" ht="15" x14ac:dyDescent="0.25">
      <c r="A35" s="109">
        <f>Advancement!A49</f>
        <v>26</v>
      </c>
      <c r="B35" s="110">
        <f>Advancement!B49</f>
        <v>49118</v>
      </c>
      <c r="C35" s="110">
        <f>Advancement!C49</f>
        <v>50323</v>
      </c>
      <c r="D35" s="178">
        <f>Advancement!D49</f>
        <v>1205</v>
      </c>
      <c r="E35" s="112" t="str">
        <f>Advancement!E49</f>
        <v>GB-G-GA-1</v>
      </c>
      <c r="F35" s="113">
        <f>Advancement!F49</f>
        <v>0</v>
      </c>
      <c r="G35" s="114">
        <f>Advancement!G49</f>
        <v>0</v>
      </c>
      <c r="H35" s="114">
        <f>Advancement!H49</f>
        <v>0.15</v>
      </c>
      <c r="I35" s="115">
        <f>Advancement!I49</f>
        <v>0.85</v>
      </c>
      <c r="J35" s="179">
        <f>Advancement!J49</f>
        <v>0.47911666666666697</v>
      </c>
      <c r="K35" s="180">
        <f>Advancement!K49</f>
        <v>0.39895833333333336</v>
      </c>
      <c r="L35" s="181">
        <f>Advancement!L49</f>
        <v>0.45723611111111112</v>
      </c>
      <c r="M35" s="204">
        <f>Advancement!M49</f>
        <v>565.64866723527155</v>
      </c>
      <c r="N35" s="205">
        <f>Advancement!N49</f>
        <v>499.72912981903158</v>
      </c>
      <c r="O35" s="206">
        <f>Advancement!O49</f>
        <v>453.04515651559961</v>
      </c>
      <c r="P35" s="204">
        <f>Advancement!P49</f>
        <v>471.01314822222514</v>
      </c>
      <c r="Q35" s="205">
        <f>Advancement!Q49</f>
        <v>416.12224040919267</v>
      </c>
      <c r="R35" s="206">
        <f>Advancement!R49</f>
        <v>377.24870191992756</v>
      </c>
      <c r="S35" s="204">
        <f>Advancement!S49</f>
        <v>539.81632211049168</v>
      </c>
      <c r="T35" s="205">
        <f>Advancement!T49</f>
        <v>476.90723329890449</v>
      </c>
      <c r="U35" s="207">
        <f>Advancement!U49</f>
        <v>432.35524859550691</v>
      </c>
      <c r="AL35" s="227">
        <f>Advancement!A162</f>
        <v>28</v>
      </c>
      <c r="AM35" s="218">
        <f>Advancement!B162</f>
        <v>51505.5</v>
      </c>
      <c r="AN35" s="218">
        <f>Advancement!C162</f>
        <v>51564</v>
      </c>
      <c r="AO35" s="182">
        <f>Advancement!D162</f>
        <v>58.5</v>
      </c>
      <c r="AP35" s="228" t="str">
        <f>Advancement!E162</f>
        <v>GB-G-GA-3</v>
      </c>
      <c r="AQ35" s="134">
        <f>Advancement!F162</f>
        <v>2446</v>
      </c>
      <c r="AR35" s="136">
        <f>Advancement!G162</f>
        <v>23.407228895665348</v>
      </c>
      <c r="AS35" s="139">
        <f>Advancement!H162</f>
        <v>22.215163753245825</v>
      </c>
      <c r="AT35" s="225">
        <f>Advancement!I162</f>
        <v>21.0851894045962</v>
      </c>
      <c r="AU35" s="136">
        <f>Advancement!J162</f>
        <v>26.706073211921634</v>
      </c>
      <c r="AV35" s="139">
        <f>Advancement!K162</f>
        <v>25.292268993889753</v>
      </c>
      <c r="AW35" s="225">
        <f>Advancement!L162</f>
        <v>23.936675723873226</v>
      </c>
      <c r="AX35" s="136">
        <f>Advancement!M162</f>
        <v>25.057432794555865</v>
      </c>
      <c r="AY35" s="139">
        <f>Advancement!N162</f>
        <v>23.831490333101492</v>
      </c>
      <c r="AZ35" s="333">
        <f>Advancement!O162</f>
        <v>22.650900521350913</v>
      </c>
      <c r="BA35" s="226">
        <f>Advancement!P162</f>
        <v>22.892222222222223</v>
      </c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</row>
    <row r="36" spans="1:67" ht="15" x14ac:dyDescent="0.25">
      <c r="A36" s="125">
        <f>Advancement!A50</f>
        <v>27</v>
      </c>
      <c r="B36" s="126">
        <f>Advancement!B50</f>
        <v>50323</v>
      </c>
      <c r="C36" s="126">
        <f>Advancement!C50</f>
        <v>50395</v>
      </c>
      <c r="D36" s="182">
        <f>Advancement!D50</f>
        <v>72</v>
      </c>
      <c r="E36" s="128" t="str">
        <f>Advancement!E50</f>
        <v>GB-G-GA-2</v>
      </c>
      <c r="F36" s="129">
        <f>Advancement!F50</f>
        <v>0</v>
      </c>
      <c r="G36" s="130">
        <f>Advancement!G50</f>
        <v>0.2</v>
      </c>
      <c r="H36" s="130">
        <f>Advancement!H50</f>
        <v>0.55000000000000004</v>
      </c>
      <c r="I36" s="131">
        <f>Advancement!I50</f>
        <v>0.25</v>
      </c>
      <c r="J36" s="183">
        <f>Advancement!J50</f>
        <v>0.36886111111111131</v>
      </c>
      <c r="K36" s="184">
        <f>Advancement!K50</f>
        <v>0.33729166666666671</v>
      </c>
      <c r="L36" s="185">
        <f>Advancement!L50</f>
        <v>0.40518055555555554</v>
      </c>
      <c r="M36" s="208">
        <f>Advancement!M50</f>
        <v>451.24637192355414</v>
      </c>
      <c r="N36" s="209">
        <f>Advancement!N50</f>
        <v>440.08437252171785</v>
      </c>
      <c r="O36" s="210">
        <f>Advancement!O50</f>
        <v>409.26699396310102</v>
      </c>
      <c r="P36" s="208">
        <f>Advancement!P50</f>
        <v>412.62588079537267</v>
      </c>
      <c r="Q36" s="209">
        <f>Advancement!Q50</f>
        <v>402.41919522139904</v>
      </c>
      <c r="R36" s="210">
        <f>Advancement!R50</f>
        <v>374.23936096068621</v>
      </c>
      <c r="S36" s="208">
        <f>Advancement!S50</f>
        <v>495.67777724700034</v>
      </c>
      <c r="T36" s="209">
        <f>Advancement!T50</f>
        <v>483.41672564109007</v>
      </c>
      <c r="U36" s="211">
        <f>Advancement!U50</f>
        <v>449.56495274062576</v>
      </c>
      <c r="AL36" s="227">
        <f>Advancement!A163</f>
        <v>29</v>
      </c>
      <c r="AM36" s="218">
        <f>Advancement!B163</f>
        <v>51564</v>
      </c>
      <c r="AN36" s="218">
        <f>Advancement!C163</f>
        <v>51639</v>
      </c>
      <c r="AO36" s="182">
        <f>Advancement!D163</f>
        <v>75</v>
      </c>
      <c r="AP36" s="228" t="str">
        <f>Advancement!E163</f>
        <v>GB-G-GA-4</v>
      </c>
      <c r="AQ36" s="134">
        <f>Advancement!F163</f>
        <v>2521</v>
      </c>
      <c r="AR36" s="136">
        <f>Advancement!G163</f>
        <v>23.561353803379998</v>
      </c>
      <c r="AS36" s="139">
        <f>Advancement!H163</f>
        <v>22.360423109420186</v>
      </c>
      <c r="AT36" s="225">
        <f>Advancement!I163</f>
        <v>21.225102104575999</v>
      </c>
      <c r="AU36" s="136">
        <f>Advancement!J163</f>
        <v>26.88444260100983</v>
      </c>
      <c r="AV36" s="139">
        <f>Advancement!K163</f>
        <v>25.4603782437466</v>
      </c>
      <c r="AW36" s="225">
        <f>Advancement!L163</f>
        <v>24.098597266543546</v>
      </c>
      <c r="AX36" s="136">
        <f>Advancement!M163</f>
        <v>25.210007928958557</v>
      </c>
      <c r="AY36" s="139">
        <f>Advancement!N163</f>
        <v>23.97528906180915</v>
      </c>
      <c r="AZ36" s="333">
        <f>Advancement!O163</f>
        <v>22.789406356135153</v>
      </c>
      <c r="BA36" s="226">
        <f>Advancement!P163</f>
        <v>23.058888888888891</v>
      </c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</row>
    <row r="37" spans="1:67" ht="15" x14ac:dyDescent="0.25">
      <c r="A37" s="125">
        <f>Advancement!A51</f>
        <v>28</v>
      </c>
      <c r="B37" s="126">
        <f>Advancement!B51</f>
        <v>50395</v>
      </c>
      <c r="C37" s="126">
        <f>Advancement!C51</f>
        <v>51494.5</v>
      </c>
      <c r="D37" s="182">
        <f>Advancement!D51</f>
        <v>1099.5</v>
      </c>
      <c r="E37" s="128" t="str">
        <f>Advancement!E51</f>
        <v>GB-G-GA-3</v>
      </c>
      <c r="F37" s="129">
        <f>Advancement!F51</f>
        <v>0</v>
      </c>
      <c r="G37" s="130">
        <f>Advancement!G51</f>
        <v>0</v>
      </c>
      <c r="H37" s="130">
        <f>Advancement!H51</f>
        <v>0.25</v>
      </c>
      <c r="I37" s="131">
        <f>Advancement!I51</f>
        <v>0.75</v>
      </c>
      <c r="J37" s="183">
        <f>Advancement!J51</f>
        <v>0.46608333333333357</v>
      </c>
      <c r="K37" s="184">
        <f>Advancement!K51</f>
        <v>0.39270833333333338</v>
      </c>
      <c r="L37" s="185">
        <f>Advancement!L51</f>
        <v>0.45298611111111109</v>
      </c>
      <c r="M37" s="208">
        <f>Advancement!M51</f>
        <v>540.31964462334759</v>
      </c>
      <c r="N37" s="209">
        <f>Advancement!N51</f>
        <v>482.11736607452826</v>
      </c>
      <c r="O37" s="210">
        <f>Advancement!O51</f>
        <v>433.15277253373699</v>
      </c>
      <c r="P37" s="208">
        <f>Advancement!P51</f>
        <v>455.25770164268278</v>
      </c>
      <c r="Q37" s="209">
        <f>Advancement!Q51</f>
        <v>406.21814547223556</v>
      </c>
      <c r="R37" s="210">
        <f>Advancement!R51</f>
        <v>364.96199545239301</v>
      </c>
      <c r="S37" s="208">
        <f>Advancement!S51</f>
        <v>525.13633736785471</v>
      </c>
      <c r="T37" s="209">
        <f>Advancement!T51</f>
        <v>468.56957788070594</v>
      </c>
      <c r="U37" s="211">
        <f>Advancement!U51</f>
        <v>420.98091889230062</v>
      </c>
      <c r="AL37" s="227" t="str">
        <f>Advancement!A164</f>
        <v>F6-F7</v>
      </c>
      <c r="AM37" s="218">
        <f>Advancement!B164</f>
        <v>51639</v>
      </c>
      <c r="AN37" s="218">
        <f>Advancement!C164</f>
        <v>51743</v>
      </c>
      <c r="AO37" s="182">
        <f>Advancement!D164</f>
        <v>104</v>
      </c>
      <c r="AP37" s="228" t="str">
        <f>Advancement!E164</f>
        <v>F6-F7</v>
      </c>
      <c r="AQ37" s="134">
        <f>Advancement!F164</f>
        <v>2625</v>
      </c>
      <c r="AR37" s="136">
        <f>Advancement!G164</f>
        <v>23.980313905137649</v>
      </c>
      <c r="AS37" s="139">
        <f>Advancement!H164</f>
        <v>22.773294817508475</v>
      </c>
      <c r="AT37" s="225">
        <f>Advancement!I164</f>
        <v>21.656220637553709</v>
      </c>
      <c r="AU37" s="136">
        <f>Advancement!J164</f>
        <v>27.271851386462277</v>
      </c>
      <c r="AV37" s="139">
        <f>Advancement!K164</f>
        <v>25.842157144188736</v>
      </c>
      <c r="AW37" s="225">
        <f>Advancement!L164</f>
        <v>24.497248848272317</v>
      </c>
      <c r="AX37" s="136">
        <f>Advancement!M164</f>
        <v>25.512321143039944</v>
      </c>
      <c r="AY37" s="139">
        <f>Advancement!N164</f>
        <v>24.273209013021219</v>
      </c>
      <c r="AZ37" s="333">
        <f>Advancement!O164</f>
        <v>23.100492850547777</v>
      </c>
      <c r="BA37" s="226">
        <f>Advancement!P164</f>
        <v>23.290000000000003</v>
      </c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</row>
    <row r="38" spans="1:67" ht="15.75" thickBot="1" x14ac:dyDescent="0.3">
      <c r="A38" s="125" t="str">
        <f>Advancement!A52</f>
        <v>F4</v>
      </c>
      <c r="B38" s="126">
        <f>Advancement!B52</f>
        <v>51494.5</v>
      </c>
      <c r="C38" s="126">
        <f>Advancement!C52</f>
        <v>51505.5</v>
      </c>
      <c r="D38" s="182">
        <f>Advancement!D52</f>
        <v>11</v>
      </c>
      <c r="E38" s="128" t="str">
        <f>Advancement!E52</f>
        <v>F4</v>
      </c>
      <c r="F38" s="129">
        <f>Advancement!F52</f>
        <v>0</v>
      </c>
      <c r="G38" s="130">
        <f>Advancement!G52</f>
        <v>1</v>
      </c>
      <c r="H38" s="130">
        <f>Advancement!H52</f>
        <v>0</v>
      </c>
      <c r="I38" s="131">
        <f>Advancement!I52</f>
        <v>0</v>
      </c>
      <c r="J38" s="183">
        <f>Advancement!J52</f>
        <v>0.20805555555555563</v>
      </c>
      <c r="K38" s="184">
        <f>Advancement!K52</f>
        <v>0.22500000000000001</v>
      </c>
      <c r="L38" s="185">
        <f>Advancement!L52</f>
        <v>0.28833333333333333</v>
      </c>
      <c r="M38" s="208">
        <f>Advancement!M52</f>
        <v>233.37606605882013</v>
      </c>
      <c r="N38" s="209">
        <f>Advancement!N52</f>
        <v>244.63064566846626</v>
      </c>
      <c r="O38" s="210">
        <f>Advancement!O52</f>
        <v>241.44297673173199</v>
      </c>
      <c r="P38" s="208">
        <f>Advancement!P52</f>
        <v>252.38266155893757</v>
      </c>
      <c r="Q38" s="209">
        <f>Advancement!Q52</f>
        <v>264.55383576963635</v>
      </c>
      <c r="R38" s="210">
        <f>Advancement!R52</f>
        <v>261.10655694619874</v>
      </c>
      <c r="S38" s="208">
        <f>Advancement!S52</f>
        <v>323.42370703478662</v>
      </c>
      <c r="T38" s="209">
        <f>Advancement!T52</f>
        <v>339.02084139368208</v>
      </c>
      <c r="U38" s="211">
        <f>Advancement!U52</f>
        <v>334.60321741994346</v>
      </c>
      <c r="AL38" s="227">
        <f>Advancement!A165</f>
        <v>30</v>
      </c>
      <c r="AM38" s="218">
        <f>Advancement!B165</f>
        <v>51743</v>
      </c>
      <c r="AN38" s="218">
        <f>Advancement!C165</f>
        <v>51980.5</v>
      </c>
      <c r="AO38" s="182">
        <f>Advancement!D165</f>
        <v>237.5</v>
      </c>
      <c r="AP38" s="228" t="str">
        <f>Advancement!E165</f>
        <v>GB-G-GA-5</v>
      </c>
      <c r="AQ38" s="134">
        <f>Advancement!F165</f>
        <v>2862.5</v>
      </c>
      <c r="AR38" s="136">
        <f>Advancement!G165</f>
        <v>24.492551918235865</v>
      </c>
      <c r="AS38" s="139">
        <f>Advancement!H165</f>
        <v>23.244123084349543</v>
      </c>
      <c r="AT38" s="225">
        <f>Advancement!I165</f>
        <v>22.094303823483397</v>
      </c>
      <c r="AU38" s="136">
        <f>Advancement!J165</f>
        <v>27.876105973549773</v>
      </c>
      <c r="AV38" s="139">
        <f>Advancement!K165</f>
        <v>26.397563288782344</v>
      </c>
      <c r="AW38" s="225">
        <f>Advancement!L165</f>
        <v>25.014027704692648</v>
      </c>
      <c r="AX38" s="136">
        <f>Advancement!M165</f>
        <v>26.034449821735166</v>
      </c>
      <c r="AY38" s="139">
        <f>Advancement!N165</f>
        <v>24.753128375840845</v>
      </c>
      <c r="AZ38" s="333">
        <f>Advancement!O165</f>
        <v>23.547034866523077</v>
      </c>
      <c r="BA38" s="226">
        <f>Advancement!P165</f>
        <v>23.817777777777781</v>
      </c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</row>
    <row r="39" spans="1:67" ht="15" x14ac:dyDescent="0.25">
      <c r="A39" s="125">
        <f>Advancement!A53</f>
        <v>28</v>
      </c>
      <c r="B39" s="126">
        <f>Advancement!B53</f>
        <v>51505.5</v>
      </c>
      <c r="C39" s="126">
        <f>Advancement!C53</f>
        <v>51564</v>
      </c>
      <c r="D39" s="182">
        <f>Advancement!D53</f>
        <v>58.5</v>
      </c>
      <c r="E39" s="128" t="str">
        <f>Advancement!E53</f>
        <v>GB-G-GA-3</v>
      </c>
      <c r="F39" s="129">
        <f>Advancement!F53</f>
        <v>0</v>
      </c>
      <c r="G39" s="130">
        <f>Advancement!G53</f>
        <v>0</v>
      </c>
      <c r="H39" s="130">
        <f>Advancement!H53</f>
        <v>0.25</v>
      </c>
      <c r="I39" s="131">
        <f>Advancement!I53</f>
        <v>0.75</v>
      </c>
      <c r="J39" s="183">
        <f>Advancement!J53</f>
        <v>0.46608333333333357</v>
      </c>
      <c r="K39" s="184">
        <f>Advancement!K53</f>
        <v>0.39270833333333338</v>
      </c>
      <c r="L39" s="185">
        <f>Advancement!L53</f>
        <v>0.45298611111111109</v>
      </c>
      <c r="M39" s="208">
        <f>Advancement!M53</f>
        <v>540.31964462334759</v>
      </c>
      <c r="N39" s="209">
        <f>Advancement!N53</f>
        <v>482.11736607452838</v>
      </c>
      <c r="O39" s="210">
        <f>Advancement!O53</f>
        <v>433.15277253373699</v>
      </c>
      <c r="P39" s="208">
        <f>Advancement!P53</f>
        <v>455.25770164268283</v>
      </c>
      <c r="Q39" s="209">
        <f>Advancement!Q53</f>
        <v>406.21814547223556</v>
      </c>
      <c r="R39" s="210">
        <f>Advancement!R53</f>
        <v>364.96199545239307</v>
      </c>
      <c r="S39" s="208">
        <f>Advancement!S53</f>
        <v>525.13633736785482</v>
      </c>
      <c r="T39" s="209">
        <f>Advancement!T53</f>
        <v>468.56957788070594</v>
      </c>
      <c r="U39" s="211">
        <f>Advancement!U53</f>
        <v>420.98091889230051</v>
      </c>
      <c r="Z39" s="641" t="s">
        <v>114</v>
      </c>
      <c r="AA39" s="642"/>
      <c r="AB39" s="642"/>
      <c r="AC39" s="642"/>
      <c r="AD39" s="642"/>
      <c r="AE39" s="642"/>
      <c r="AF39" s="643"/>
      <c r="AL39" s="227" t="str">
        <f>Advancement!A166</f>
        <v>F9</v>
      </c>
      <c r="AM39" s="218">
        <f>Advancement!B166</f>
        <v>51980.5</v>
      </c>
      <c r="AN39" s="218">
        <f>Advancement!C166</f>
        <v>52003.5</v>
      </c>
      <c r="AO39" s="182">
        <f>Advancement!D166</f>
        <v>23</v>
      </c>
      <c r="AP39" s="228" t="str">
        <f>Advancement!E166</f>
        <v>F9</v>
      </c>
      <c r="AQ39" s="134">
        <f>Advancement!F166</f>
        <v>2885.5</v>
      </c>
      <c r="AR39" s="136">
        <f>Advancement!G166</f>
        <v>24.587473542088318</v>
      </c>
      <c r="AS39" s="139">
        <f>Advancement!H166</f>
        <v>23.337650227647135</v>
      </c>
      <c r="AT39" s="225">
        <f>Advancement!I166</f>
        <v>22.192004942071268</v>
      </c>
      <c r="AU39" s="136">
        <f>Advancement!J166</f>
        <v>27.963879178815809</v>
      </c>
      <c r="AV39" s="139">
        <f>Advancement!K166</f>
        <v>26.484047029930366</v>
      </c>
      <c r="AW39" s="225">
        <f>Advancement!L166</f>
        <v>25.104371084720199</v>
      </c>
      <c r="AX39" s="136">
        <f>Advancement!M166</f>
        <v>26.102943363416756</v>
      </c>
      <c r="AY39" s="139">
        <f>Advancement!N166</f>
        <v>24.820615688297394</v>
      </c>
      <c r="AZ39" s="333">
        <f>Advancement!O166</f>
        <v>23.61753403590874</v>
      </c>
      <c r="BA39" s="226">
        <f>Advancement!P166</f>
        <v>23.868888888888893</v>
      </c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</row>
    <row r="40" spans="1:67" ht="15" customHeight="1" thickBot="1" x14ac:dyDescent="0.3">
      <c r="A40" s="125">
        <f>Advancement!A54</f>
        <v>29</v>
      </c>
      <c r="B40" s="126">
        <f>Advancement!B54</f>
        <v>51564</v>
      </c>
      <c r="C40" s="126">
        <f>Advancement!C54</f>
        <v>51639</v>
      </c>
      <c r="D40" s="182">
        <f>Advancement!D54</f>
        <v>75</v>
      </c>
      <c r="E40" s="128" t="str">
        <f>Advancement!E54</f>
        <v>GB-G-GA-4</v>
      </c>
      <c r="F40" s="129">
        <f>Advancement!F54</f>
        <v>0</v>
      </c>
      <c r="G40" s="130">
        <f>Advancement!G54</f>
        <v>0</v>
      </c>
      <c r="H40" s="130">
        <f>Advancement!H54</f>
        <v>0.45</v>
      </c>
      <c r="I40" s="131">
        <f>Advancement!I54</f>
        <v>0.55000000000000004</v>
      </c>
      <c r="J40" s="183">
        <f>Advancement!J54</f>
        <v>0.44001666666666694</v>
      </c>
      <c r="K40" s="184">
        <f>Advancement!K54</f>
        <v>0.38020833333333337</v>
      </c>
      <c r="L40" s="185">
        <f>Advancement!L54</f>
        <v>0.44448611111111114</v>
      </c>
      <c r="M40" s="208">
        <f>Advancement!M54</f>
        <v>536.04855035195465</v>
      </c>
      <c r="N40" s="209">
        <f>Advancement!N54</f>
        <v>516.31786051684173</v>
      </c>
      <c r="O40" s="210">
        <f>Advancement!O54</f>
        <v>486.61829623838082</v>
      </c>
      <c r="P40" s="208">
        <f>Advancement!P54</f>
        <v>463.18728665217071</v>
      </c>
      <c r="Q40" s="209">
        <f>Advancement!Q54</f>
        <v>446.13844903755336</v>
      </c>
      <c r="R40" s="210">
        <f>Advancement!R54</f>
        <v>420.47573512132323</v>
      </c>
      <c r="S40" s="208">
        <f>Advancement!S54</f>
        <v>541.49343323212486</v>
      </c>
      <c r="T40" s="209">
        <f>Advancement!T54</f>
        <v>521.56233002918066</v>
      </c>
      <c r="U40" s="211">
        <f>Advancement!U54</f>
        <v>491.56109410366048</v>
      </c>
      <c r="Z40" s="644"/>
      <c r="AA40" s="645"/>
      <c r="AB40" s="645"/>
      <c r="AC40" s="645"/>
      <c r="AD40" s="645"/>
      <c r="AE40" s="645"/>
      <c r="AF40" s="646"/>
      <c r="AL40" s="227">
        <f>Advancement!A167</f>
        <v>30</v>
      </c>
      <c r="AM40" s="218">
        <f>Advancement!B167</f>
        <v>52003.5</v>
      </c>
      <c r="AN40" s="218">
        <f>Advancement!C167</f>
        <v>52363.5</v>
      </c>
      <c r="AO40" s="182">
        <f>Advancement!D167</f>
        <v>360</v>
      </c>
      <c r="AP40" s="228" t="str">
        <f>Advancement!E167</f>
        <v>GB-G-GA-5</v>
      </c>
      <c r="AQ40" s="134">
        <f>Advancement!F167</f>
        <v>3245.5</v>
      </c>
      <c r="AR40" s="136">
        <f>Advancement!G167</f>
        <v>25.363918530363506</v>
      </c>
      <c r="AS40" s="139">
        <f>Advancement!H167</f>
        <v>24.051326758437803</v>
      </c>
      <c r="AT40" s="225">
        <f>Advancement!I167</f>
        <v>22.856046823901529</v>
      </c>
      <c r="AU40" s="136">
        <f>Advancement!J167</f>
        <v>28.879801921348431</v>
      </c>
      <c r="AV40" s="139">
        <f>Advancement!K167</f>
        <v>27.325925817524887</v>
      </c>
      <c r="AW40" s="225">
        <f>Advancement!L167</f>
        <v>25.887699035504699</v>
      </c>
      <c r="AX40" s="136">
        <f>Advancement!M167</f>
        <v>26.894380518491616</v>
      </c>
      <c r="AY40" s="139">
        <f>Advancement!N167</f>
        <v>25.548072406676617</v>
      </c>
      <c r="AZ40" s="333">
        <f>Advancement!O167</f>
        <v>24.294397723281829</v>
      </c>
      <c r="BA40" s="226">
        <f>Advancement!P167</f>
        <v>24.668888888888894</v>
      </c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</row>
    <row r="41" spans="1:67" ht="15" x14ac:dyDescent="0.25">
      <c r="A41" s="125" t="str">
        <f>Advancement!A55</f>
        <v>F6-F7</v>
      </c>
      <c r="B41" s="126">
        <f>Advancement!B55</f>
        <v>51639</v>
      </c>
      <c r="C41" s="126">
        <f>Advancement!C55</f>
        <v>51743</v>
      </c>
      <c r="D41" s="182">
        <f>Advancement!D55</f>
        <v>104</v>
      </c>
      <c r="E41" s="128" t="str">
        <f>Advancement!E55</f>
        <v>F6-F7</v>
      </c>
      <c r="F41" s="129">
        <f>Advancement!F55</f>
        <v>0</v>
      </c>
      <c r="G41" s="130">
        <f>Advancement!G55</f>
        <v>1</v>
      </c>
      <c r="H41" s="130">
        <f>Advancement!H55</f>
        <v>0</v>
      </c>
      <c r="I41" s="131">
        <f>Advancement!I55</f>
        <v>0</v>
      </c>
      <c r="J41" s="183">
        <f>Advancement!J55</f>
        <v>0.20805555555555563</v>
      </c>
      <c r="K41" s="184">
        <f>Advancement!K55</f>
        <v>0.22500000000000001</v>
      </c>
      <c r="L41" s="185">
        <f>Advancement!L55</f>
        <v>0.28833333333333333</v>
      </c>
      <c r="M41" s="208">
        <f>Advancement!M55</f>
        <v>241.23296041503568</v>
      </c>
      <c r="N41" s="209">
        <f>Advancement!N55</f>
        <v>251.89422758354829</v>
      </c>
      <c r="O41" s="210">
        <f>Advancement!O55</f>
        <v>248.23366130495921</v>
      </c>
      <c r="P41" s="208">
        <f>Advancement!P55</f>
        <v>260.87943649690101</v>
      </c>
      <c r="Q41" s="209">
        <f>Advancement!Q55</f>
        <v>272.40897776057955</v>
      </c>
      <c r="R41" s="210">
        <f>Advancement!R55</f>
        <v>268.45028792659127</v>
      </c>
      <c r="S41" s="208">
        <f>Advancement!S55</f>
        <v>334.31216677010264</v>
      </c>
      <c r="T41" s="209">
        <f>Advancement!T55</f>
        <v>349.08706038948338</v>
      </c>
      <c r="U41" s="211">
        <f>Advancement!U55</f>
        <v>344.0140726762985</v>
      </c>
      <c r="AL41" s="227" t="str">
        <f>Advancement!A168</f>
        <v>F11</v>
      </c>
      <c r="AM41" s="218">
        <f>Advancement!B168</f>
        <v>52363.5</v>
      </c>
      <c r="AN41" s="218">
        <f>Advancement!C168</f>
        <v>52392.5</v>
      </c>
      <c r="AO41" s="182">
        <f>Advancement!D168</f>
        <v>29</v>
      </c>
      <c r="AP41" s="228" t="str">
        <f>Advancement!E168</f>
        <v>F11</v>
      </c>
      <c r="AQ41" s="134">
        <f>Advancement!F168</f>
        <v>3274.5</v>
      </c>
      <c r="AR41" s="136">
        <f>Advancement!G168</f>
        <v>25.483602316960081</v>
      </c>
      <c r="AS41" s="139">
        <f>Advancement!H168</f>
        <v>24.169252286943465</v>
      </c>
      <c r="AT41" s="225">
        <f>Advancement!I168</f>
        <v>22.979235190816674</v>
      </c>
      <c r="AU41" s="136">
        <f>Advancement!J168</f>
        <v>28.990472484509954</v>
      </c>
      <c r="AV41" s="139">
        <f>Advancement!K168</f>
        <v>27.434970534624565</v>
      </c>
      <c r="AW41" s="225">
        <f>Advancement!L168</f>
        <v>26.001610253800308</v>
      </c>
      <c r="AX41" s="136">
        <f>Advancement!M168</f>
        <v>26.980741940611878</v>
      </c>
      <c r="AY41" s="139">
        <f>Advancement!N168</f>
        <v>25.633165104991395</v>
      </c>
      <c r="AZ41" s="333">
        <f>Advancement!O168</f>
        <v>24.383287980333314</v>
      </c>
      <c r="BA41" s="226">
        <f>Advancement!P168</f>
        <v>24.733333333333338</v>
      </c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</row>
    <row r="42" spans="1:67" ht="18.75" x14ac:dyDescent="0.25">
      <c r="A42" s="125">
        <f>Advancement!A56</f>
        <v>30</v>
      </c>
      <c r="B42" s="126">
        <f>Advancement!B56</f>
        <v>51743</v>
      </c>
      <c r="C42" s="126">
        <f>Advancement!C56</f>
        <v>51980.5</v>
      </c>
      <c r="D42" s="182">
        <f>Advancement!D56</f>
        <v>237.5</v>
      </c>
      <c r="E42" s="128" t="str">
        <f>Advancement!E56</f>
        <v>GB-G-GA-5</v>
      </c>
      <c r="F42" s="129">
        <f>Advancement!F56</f>
        <v>0</v>
      </c>
      <c r="G42" s="130">
        <f>Advancement!G56</f>
        <v>0</v>
      </c>
      <c r="H42" s="130">
        <f>Advancement!H56</f>
        <v>0.3</v>
      </c>
      <c r="I42" s="131">
        <f>Advancement!I56</f>
        <v>0.7</v>
      </c>
      <c r="J42" s="183">
        <f>Advancement!J56</f>
        <v>0.4595666666666669</v>
      </c>
      <c r="K42" s="184">
        <f>Advancement!K56</f>
        <v>0.38958333333333334</v>
      </c>
      <c r="L42" s="185">
        <f>Advancement!L56</f>
        <v>0.4508611111111111</v>
      </c>
      <c r="M42" s="208">
        <f>Advancement!M56</f>
        <v>542.13447954178969</v>
      </c>
      <c r="N42" s="209">
        <f>Advancement!N56</f>
        <v>504.43020677892105</v>
      </c>
      <c r="O42" s="210">
        <f>Advancement!O56</f>
        <v>463.65165006694338</v>
      </c>
      <c r="P42" s="208">
        <f>Advancement!P56</f>
        <v>459.57762599874263</v>
      </c>
      <c r="Q42" s="209">
        <f>Advancement!Q56</f>
        <v>427.61500266400503</v>
      </c>
      <c r="R42" s="210">
        <f>Advancement!R56</f>
        <v>393.0462508274025</v>
      </c>
      <c r="S42" s="208">
        <f>Advancement!S56</f>
        <v>531.86484474763574</v>
      </c>
      <c r="T42" s="209">
        <f>Advancement!T56</f>
        <v>494.87480272652152</v>
      </c>
      <c r="U42" s="211">
        <f>Advancement!U56</f>
        <v>454.86871281137741</v>
      </c>
      <c r="W42" s="397" t="s">
        <v>213</v>
      </c>
      <c r="AL42" s="227">
        <f>Advancement!A169</f>
        <v>31</v>
      </c>
      <c r="AM42" s="218">
        <f>Advancement!B169</f>
        <v>52392.5</v>
      </c>
      <c r="AN42" s="218">
        <f>Advancement!C169</f>
        <v>52490.5</v>
      </c>
      <c r="AO42" s="182">
        <f>Advancement!D169</f>
        <v>98</v>
      </c>
      <c r="AP42" s="228" t="str">
        <f>Advancement!E169</f>
        <v>GB-G-GA-6</v>
      </c>
      <c r="AQ42" s="134">
        <f>Advancement!F169</f>
        <v>3372.5</v>
      </c>
      <c r="AR42" s="136">
        <f>Advancement!G169</f>
        <v>25.70135609986988</v>
      </c>
      <c r="AS42" s="139">
        <f>Advancement!H169</f>
        <v>24.371188029340669</v>
      </c>
      <c r="AT42" s="225">
        <f>Advancement!I169</f>
        <v>23.169072643875037</v>
      </c>
      <c r="AU42" s="136">
        <f>Advancement!J169</f>
        <v>29.240805120686037</v>
      </c>
      <c r="AV42" s="139">
        <f>Advancement!K169</f>
        <v>27.667118541685394</v>
      </c>
      <c r="AW42" s="225">
        <f>Advancement!L169</f>
        <v>26.219849907017903</v>
      </c>
      <c r="AX42" s="136">
        <f>Advancement!M169</f>
        <v>27.194133811010015</v>
      </c>
      <c r="AY42" s="139">
        <f>Advancement!N169</f>
        <v>25.831055792328964</v>
      </c>
      <c r="AZ42" s="333">
        <f>Advancement!O169</f>
        <v>24.569322723970917</v>
      </c>
      <c r="BA42" s="226">
        <f>Advancement!P169</f>
        <v>24.951111111111114</v>
      </c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</row>
    <row r="43" spans="1:67" ht="15.75" x14ac:dyDescent="0.25">
      <c r="A43" s="141" t="str">
        <f>Advancement!A57</f>
        <v>F9</v>
      </c>
      <c r="B43" s="142">
        <f>Advancement!B57</f>
        <v>51980.5</v>
      </c>
      <c r="C43" s="142">
        <f>Advancement!C57</f>
        <v>52003.5</v>
      </c>
      <c r="D43" s="182">
        <f>Advancement!D57</f>
        <v>23</v>
      </c>
      <c r="E43" s="143" t="str">
        <f>Advancement!E57</f>
        <v>F9</v>
      </c>
      <c r="F43" s="144">
        <f>Advancement!F57</f>
        <v>0</v>
      </c>
      <c r="G43" s="145">
        <f>Advancement!G57</f>
        <v>1</v>
      </c>
      <c r="H43" s="145">
        <f>Advancement!H57</f>
        <v>0</v>
      </c>
      <c r="I43" s="146">
        <f>Advancement!I57</f>
        <v>0</v>
      </c>
      <c r="J43" s="183">
        <f>Advancement!J57</f>
        <v>0.20805555555555563</v>
      </c>
      <c r="K43" s="184">
        <f>Advancement!K57</f>
        <v>0.22500000000000001</v>
      </c>
      <c r="L43" s="185">
        <f>Advancement!L57</f>
        <v>0.28833333333333333</v>
      </c>
      <c r="M43" s="208">
        <f>Advancement!M57</f>
        <v>235.41183900892449</v>
      </c>
      <c r="N43" s="209">
        <f>Advancement!N57</f>
        <v>245.91791419113957</v>
      </c>
      <c r="O43" s="210">
        <f>Advancement!O57</f>
        <v>242.30516784827506</v>
      </c>
      <c r="P43" s="208">
        <f>Advancement!P57</f>
        <v>254.58423177200103</v>
      </c>
      <c r="Q43" s="209">
        <f>Advancement!Q57</f>
        <v>265.94594191565153</v>
      </c>
      <c r="R43" s="210">
        <f>Advancement!R57</f>
        <v>262.03896656489019</v>
      </c>
      <c r="S43" s="208">
        <f>Advancement!S57</f>
        <v>326.24497849300877</v>
      </c>
      <c r="T43" s="209">
        <f>Advancement!T57</f>
        <v>340.80479964005713</v>
      </c>
      <c r="U43" s="211">
        <f>Advancement!U57</f>
        <v>335.79808307945183</v>
      </c>
      <c r="W43" s="397" t="s">
        <v>115</v>
      </c>
      <c r="AL43" s="227" t="str">
        <f>Advancement!A170</f>
        <v>F12</v>
      </c>
      <c r="AM43" s="218">
        <f>Advancement!B170</f>
        <v>52490.5</v>
      </c>
      <c r="AN43" s="218">
        <f>Advancement!C170</f>
        <v>52511.5</v>
      </c>
      <c r="AO43" s="182">
        <f>Advancement!D170</f>
        <v>21</v>
      </c>
      <c r="AP43" s="228" t="str">
        <f>Advancement!E170</f>
        <v>F12</v>
      </c>
      <c r="AQ43" s="134">
        <f>Advancement!F170</f>
        <v>3393.5</v>
      </c>
      <c r="AR43" s="136">
        <f>Advancement!G170</f>
        <v>25.787335132883225</v>
      </c>
      <c r="AS43" s="139">
        <f>Advancement!H170</f>
        <v>24.456202278056924</v>
      </c>
      <c r="AT43" s="225">
        <f>Advancement!I170</f>
        <v>23.258441784514961</v>
      </c>
      <c r="AU43" s="136">
        <f>Advancement!J170</f>
        <v>29.320309189484796</v>
      </c>
      <c r="AV43" s="139">
        <f>Advancement!K170</f>
        <v>27.745730482782278</v>
      </c>
      <c r="AW43" s="225">
        <f>Advancement!L170</f>
        <v>26.302488779041735</v>
      </c>
      <c r="AX43" s="136">
        <f>Advancement!M170</f>
        <v>27.256174558338525</v>
      </c>
      <c r="AY43" s="139">
        <f>Advancement!N170</f>
        <v>25.89240037064156</v>
      </c>
      <c r="AZ43" s="333">
        <f>Advancement!O170</f>
        <v>24.633809705029975</v>
      </c>
      <c r="BA43" s="226">
        <f>Advancement!P170</f>
        <v>24.997777777777781</v>
      </c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</row>
    <row r="44" spans="1:67" ht="15" x14ac:dyDescent="0.25">
      <c r="A44" s="141">
        <f>Advancement!A58</f>
        <v>30</v>
      </c>
      <c r="B44" s="142">
        <f>Advancement!B58</f>
        <v>52003.5</v>
      </c>
      <c r="C44" s="142">
        <f>Advancement!C58</f>
        <v>52363.5</v>
      </c>
      <c r="D44" s="182">
        <f>Advancement!D58</f>
        <v>360</v>
      </c>
      <c r="E44" s="143" t="str">
        <f>Advancement!E58</f>
        <v>GB-G-GA-5</v>
      </c>
      <c r="F44" s="144">
        <f>Advancement!F58</f>
        <v>0</v>
      </c>
      <c r="G44" s="145">
        <f>Advancement!G58</f>
        <v>0</v>
      </c>
      <c r="H44" s="145">
        <f>Advancement!H58</f>
        <v>0.3</v>
      </c>
      <c r="I44" s="146">
        <f>Advancement!I58</f>
        <v>0.7</v>
      </c>
      <c r="J44" s="183">
        <f>Advancement!J58</f>
        <v>0.4595666666666669</v>
      </c>
      <c r="K44" s="184">
        <f>Advancement!K58</f>
        <v>0.38958333333333334</v>
      </c>
      <c r="L44" s="185">
        <f>Advancement!L58</f>
        <v>0.4508611111111111</v>
      </c>
      <c r="M44" s="208">
        <f>Advancement!M58</f>
        <v>542.1344795417898</v>
      </c>
      <c r="N44" s="209">
        <f>Advancement!N58</f>
        <v>504.43020677892116</v>
      </c>
      <c r="O44" s="210">
        <f>Advancement!O58</f>
        <v>463.65165006694338</v>
      </c>
      <c r="P44" s="208">
        <f>Advancement!P58</f>
        <v>459.57762599874258</v>
      </c>
      <c r="Q44" s="209">
        <f>Advancement!Q58</f>
        <v>427.61500266400509</v>
      </c>
      <c r="R44" s="210">
        <f>Advancement!R58</f>
        <v>393.04625082740245</v>
      </c>
      <c r="S44" s="208">
        <f>Advancement!S58</f>
        <v>531.86484474763574</v>
      </c>
      <c r="T44" s="209">
        <f>Advancement!T58</f>
        <v>494.87480272652164</v>
      </c>
      <c r="U44" s="211">
        <f>Advancement!U58</f>
        <v>454.86871281137746</v>
      </c>
      <c r="AL44" s="227">
        <f>Advancement!A171</f>
        <v>31</v>
      </c>
      <c r="AM44" s="218">
        <f>Advancement!B171</f>
        <v>52511.5</v>
      </c>
      <c r="AN44" s="218">
        <f>Advancement!C171</f>
        <v>52871.5</v>
      </c>
      <c r="AO44" s="182">
        <f>Advancement!D171</f>
        <v>360</v>
      </c>
      <c r="AP44" s="228" t="str">
        <f>Advancement!E171</f>
        <v>GB-G-GA-6</v>
      </c>
      <c r="AQ44" s="134">
        <f>Advancement!F171</f>
        <v>3504.5</v>
      </c>
      <c r="AR44" s="136">
        <f>Advancement!G171</f>
        <v>26.587246988470241</v>
      </c>
      <c r="AS44" s="319">
        <f>Advancement!H171</f>
        <v>25.198007046046651</v>
      </c>
      <c r="AT44" s="225">
        <f>Advancement!I171</f>
        <v>23.955803856974256</v>
      </c>
      <c r="AU44" s="136">
        <f>Advancement!J171</f>
        <v>30.239898465233672</v>
      </c>
      <c r="AV44" s="319">
        <f>Advancement!K171</f>
        <v>28.598519080148591</v>
      </c>
      <c r="AW44" s="225">
        <f>Advancement!L171</f>
        <v>27.10418546433085</v>
      </c>
      <c r="AX44" s="136">
        <f>Advancement!M171</f>
        <v>28.040063061841884</v>
      </c>
      <c r="AY44" s="319">
        <f>Advancement!N171</f>
        <v>26.619345752697932</v>
      </c>
      <c r="AZ44" s="333">
        <f>Advancement!O171</f>
        <v>25.317202640841579</v>
      </c>
      <c r="BA44" s="226">
        <f>Advancement!P171</f>
        <v>25.797777777777782</v>
      </c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</row>
    <row r="45" spans="1:67" ht="15.75" thickBot="1" x14ac:dyDescent="0.3">
      <c r="A45" s="141" t="str">
        <f>Advancement!A59</f>
        <v>F11</v>
      </c>
      <c r="B45" s="142">
        <f>Advancement!B59</f>
        <v>52363.5</v>
      </c>
      <c r="C45" s="142">
        <f>Advancement!C59</f>
        <v>52392.5</v>
      </c>
      <c r="D45" s="182">
        <f>Advancement!D59</f>
        <v>29</v>
      </c>
      <c r="E45" s="143" t="str">
        <f>Advancement!E59</f>
        <v>F11</v>
      </c>
      <c r="F45" s="144">
        <f>Advancement!F59</f>
        <v>0</v>
      </c>
      <c r="G45" s="145">
        <f>Advancement!G59</f>
        <v>1</v>
      </c>
      <c r="H45" s="145">
        <f>Advancement!H59</f>
        <v>0</v>
      </c>
      <c r="I45" s="146">
        <f>Advancement!I59</f>
        <v>0</v>
      </c>
      <c r="J45" s="183">
        <f>Advancement!J59</f>
        <v>0.20805555555555563</v>
      </c>
      <c r="K45" s="184">
        <f>Advancement!K59</f>
        <v>0.22500000000000001</v>
      </c>
      <c r="L45" s="185">
        <f>Advancement!L59</f>
        <v>0.28833333333333333</v>
      </c>
      <c r="M45" s="208">
        <f>Advancement!M59</f>
        <v>235.41183900892446</v>
      </c>
      <c r="N45" s="209">
        <f>Advancement!N59</f>
        <v>245.9179141911396</v>
      </c>
      <c r="O45" s="210">
        <f>Advancement!O59</f>
        <v>242.30516784827509</v>
      </c>
      <c r="P45" s="208">
        <f>Advancement!P59</f>
        <v>254.584231772001</v>
      </c>
      <c r="Q45" s="209">
        <f>Advancement!Q59</f>
        <v>265.94594191565159</v>
      </c>
      <c r="R45" s="210">
        <f>Advancement!R59</f>
        <v>262.03896656489025</v>
      </c>
      <c r="S45" s="208">
        <f>Advancement!S59</f>
        <v>326.24497849300877</v>
      </c>
      <c r="T45" s="209">
        <f>Advancement!T59</f>
        <v>340.80479964005718</v>
      </c>
      <c r="U45" s="211">
        <f>Advancement!U59</f>
        <v>335.79808307945189</v>
      </c>
      <c r="AL45" s="147" t="str">
        <f>Advancement!A172</f>
        <v>Smontaggio</v>
      </c>
      <c r="AM45" s="148"/>
      <c r="AN45" s="148">
        <f>Advancement!C172</f>
        <v>52871.5</v>
      </c>
      <c r="AO45" s="229"/>
      <c r="AP45" s="151"/>
      <c r="AQ45" s="154"/>
      <c r="AR45" s="157">
        <f>Advancement!G172</f>
        <v>28.587246988470241</v>
      </c>
      <c r="AS45" s="324">
        <f>Advancement!H172</f>
        <v>27.198007046046651</v>
      </c>
      <c r="AT45" s="158">
        <f>Advancement!I172</f>
        <v>25.955803856974256</v>
      </c>
      <c r="AU45" s="157">
        <f>Advancement!J172</f>
        <v>32.439898465233675</v>
      </c>
      <c r="AV45" s="325">
        <f>Advancement!K172</f>
        <v>30.798519080148591</v>
      </c>
      <c r="AW45" s="326">
        <f>Advancement!L172</f>
        <v>29.30418546433085</v>
      </c>
      <c r="AX45" s="157">
        <f>Advancement!M172</f>
        <v>30.540063061841884</v>
      </c>
      <c r="AY45" s="327">
        <f>Advancement!N172</f>
        <v>29.119345752697932</v>
      </c>
      <c r="AZ45" s="161">
        <f>Advancement!O172</f>
        <v>27.817202640841579</v>
      </c>
      <c r="BA45" s="339">
        <f>Advancement!P172</f>
        <v>28.797777777777782</v>
      </c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</row>
    <row r="46" spans="1:67" ht="15" x14ac:dyDescent="0.25">
      <c r="A46" s="141">
        <f>Advancement!A60</f>
        <v>31</v>
      </c>
      <c r="B46" s="142">
        <f>Advancement!B60</f>
        <v>52392.5</v>
      </c>
      <c r="C46" s="142">
        <f>Advancement!C60</f>
        <v>52490.5</v>
      </c>
      <c r="D46" s="182">
        <f>Advancement!D60</f>
        <v>98</v>
      </c>
      <c r="E46" s="143" t="str">
        <f>Advancement!E60</f>
        <v>GB-G-GA-6</v>
      </c>
      <c r="F46" s="144">
        <f>Advancement!F60</f>
        <v>0</v>
      </c>
      <c r="G46" s="145">
        <f>Advancement!G60</f>
        <v>0</v>
      </c>
      <c r="H46" s="145">
        <f>Advancement!H60</f>
        <v>0.5</v>
      </c>
      <c r="I46" s="146">
        <f>Advancement!I60</f>
        <v>0.5</v>
      </c>
      <c r="J46" s="183">
        <f>Advancement!J60</f>
        <v>0.43350000000000022</v>
      </c>
      <c r="K46" s="184">
        <f>Advancement!K60</f>
        <v>0.37708333333333338</v>
      </c>
      <c r="L46" s="185">
        <f>Advancement!L60</f>
        <v>0.44236111111111109</v>
      </c>
      <c r="M46" s="208">
        <f>Advancement!M60</f>
        <v>516.23111467825481</v>
      </c>
      <c r="N46" s="209">
        <f>Advancement!N60</f>
        <v>485.30289307197444</v>
      </c>
      <c r="O46" s="210">
        <f>Advancement!O60</f>
        <v>450.04958669579059</v>
      </c>
      <c r="P46" s="208">
        <f>Advancement!P60</f>
        <v>449.04763435584437</v>
      </c>
      <c r="Q46" s="209">
        <f>Advancement!Q60</f>
        <v>422.14448119005846</v>
      </c>
      <c r="R46" s="210">
        <f>Advancement!R60</f>
        <v>391.47911953065204</v>
      </c>
      <c r="S46" s="208">
        <f>Advancement!S60</f>
        <v>526.7833205979241</v>
      </c>
      <c r="T46" s="209">
        <f>Advancement!T60</f>
        <v>495.22289966494878</v>
      </c>
      <c r="U46" s="211">
        <f>Advancement!U60</f>
        <v>459.24898552675018</v>
      </c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167"/>
      <c r="AW46" s="167"/>
      <c r="AX46" s="167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</row>
    <row r="47" spans="1:67" ht="15" x14ac:dyDescent="0.25">
      <c r="A47" s="141" t="str">
        <f>Advancement!A61</f>
        <v>F12</v>
      </c>
      <c r="B47" s="142">
        <f>Advancement!B61</f>
        <v>52490.5</v>
      </c>
      <c r="C47" s="142">
        <f>Advancement!C61</f>
        <v>52511.5</v>
      </c>
      <c r="D47" s="182">
        <f>Advancement!D61</f>
        <v>21</v>
      </c>
      <c r="E47" s="143" t="str">
        <f>Advancement!E61</f>
        <v>F12</v>
      </c>
      <c r="F47" s="144">
        <f>Advancement!F61</f>
        <v>0</v>
      </c>
      <c r="G47" s="145">
        <f>Advancement!G61</f>
        <v>1</v>
      </c>
      <c r="H47" s="145">
        <f>Advancement!H61</f>
        <v>0</v>
      </c>
      <c r="I47" s="146">
        <f>Advancement!I61</f>
        <v>0</v>
      </c>
      <c r="J47" s="183">
        <f>Advancement!J61</f>
        <v>0.20805555555555563</v>
      </c>
      <c r="K47" s="184">
        <f>Advancement!K61</f>
        <v>0.22500000000000001</v>
      </c>
      <c r="L47" s="185">
        <f>Advancement!L61</f>
        <v>0.28833333333333333</v>
      </c>
      <c r="M47" s="208">
        <f>Advancement!M61</f>
        <v>234.98044011199076</v>
      </c>
      <c r="N47" s="209">
        <f>Advancement!N61</f>
        <v>247.01741551689662</v>
      </c>
      <c r="O47" s="210">
        <f>Advancement!O61</f>
        <v>244.24559411758756</v>
      </c>
      <c r="P47" s="208">
        <f>Advancement!P61</f>
        <v>254.11769891950928</v>
      </c>
      <c r="Q47" s="209">
        <f>Advancement!Q61</f>
        <v>267.13498874323926</v>
      </c>
      <c r="R47" s="210">
        <f>Advancement!R61</f>
        <v>264.137424880168</v>
      </c>
      <c r="S47" s="208">
        <f>Advancement!S61</f>
        <v>325.64712528203779</v>
      </c>
      <c r="T47" s="209">
        <f>Advancement!T61</f>
        <v>342.32854113022506</v>
      </c>
      <c r="U47" s="211">
        <f>Advancement!U61</f>
        <v>338.48721855014128</v>
      </c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167"/>
      <c r="AW47" s="167"/>
      <c r="AX47" s="167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</row>
    <row r="48" spans="1:67" ht="15.75" thickBot="1" x14ac:dyDescent="0.3">
      <c r="A48" s="147">
        <f>Advancement!A62</f>
        <v>31</v>
      </c>
      <c r="B48" s="148">
        <f>Advancement!B62</f>
        <v>52511.5</v>
      </c>
      <c r="C48" s="148">
        <f>Advancement!C62</f>
        <v>52622.5</v>
      </c>
      <c r="D48" s="187">
        <f>Advancement!D62</f>
        <v>111</v>
      </c>
      <c r="E48" s="149" t="str">
        <f>Advancement!E62</f>
        <v>GB-G-GA-6</v>
      </c>
      <c r="F48" s="150">
        <f>Advancement!F62</f>
        <v>0</v>
      </c>
      <c r="G48" s="151">
        <f>Advancement!G62</f>
        <v>0</v>
      </c>
      <c r="H48" s="151">
        <f>Advancement!H62</f>
        <v>0.5</v>
      </c>
      <c r="I48" s="152">
        <f>Advancement!I62</f>
        <v>0.5</v>
      </c>
      <c r="J48" s="183">
        <f>Advancement!J62</f>
        <v>0.43350000000000022</v>
      </c>
      <c r="K48" s="184">
        <f>Advancement!K62</f>
        <v>0.37708333333333338</v>
      </c>
      <c r="L48" s="185">
        <f>Advancement!L62</f>
        <v>0.44236111111111109</v>
      </c>
      <c r="M48" s="208">
        <f>Advancement!M62</f>
        <v>516.23111467825493</v>
      </c>
      <c r="N48" s="209">
        <f>Advancement!N62</f>
        <v>485.30289307197455</v>
      </c>
      <c r="O48" s="210">
        <f>Advancement!O62</f>
        <v>450.04958669579065</v>
      </c>
      <c r="P48" s="208">
        <f>Advancement!P62</f>
        <v>449.04763435584437</v>
      </c>
      <c r="Q48" s="209">
        <f>Advancement!Q62</f>
        <v>422.14448119005846</v>
      </c>
      <c r="R48" s="210">
        <f>Advancement!R62</f>
        <v>391.47911953065204</v>
      </c>
      <c r="S48" s="208">
        <f>Advancement!S62</f>
        <v>526.78332059792422</v>
      </c>
      <c r="T48" s="209">
        <f>Advancement!T62</f>
        <v>495.22289966494873</v>
      </c>
      <c r="U48" s="211">
        <f>Advancement!U62</f>
        <v>459.24898552675012</v>
      </c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167"/>
      <c r="AW48" s="167"/>
      <c r="AX48" s="167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</row>
    <row r="49" spans="1:67" ht="15.75" thickBot="1" x14ac:dyDescent="0.3">
      <c r="A49" s="162"/>
      <c r="B49" s="163"/>
      <c r="C49" s="163"/>
      <c r="D49" s="188">
        <f>Advancement!D41</f>
        <v>3504.5</v>
      </c>
      <c r="E49" s="162"/>
      <c r="F49" s="165"/>
      <c r="G49" s="165"/>
      <c r="H49" s="165"/>
      <c r="I49" s="165"/>
      <c r="J49" s="95"/>
      <c r="K49" s="247" t="s">
        <v>78</v>
      </c>
      <c r="L49" s="213" t="str">
        <f>Advancement!U42</f>
        <v>[m/M]</v>
      </c>
      <c r="M49" s="195">
        <f>Advancement!V42</f>
        <v>510.23245196629244</v>
      </c>
      <c r="N49" s="196">
        <f>Advancement!W42</f>
        <v>467.79412197272887</v>
      </c>
      <c r="O49" s="197">
        <f>Advancement!X42</f>
        <v>428.34809633732937</v>
      </c>
      <c r="P49" s="198">
        <f>Advancement!Y42</f>
        <v>441.76175899531512</v>
      </c>
      <c r="Q49" s="199">
        <f>Advancement!Z42</f>
        <v>403.58751252709845</v>
      </c>
      <c r="R49" s="200">
        <f>Advancement!AA42</f>
        <v>368.91776260678074</v>
      </c>
      <c r="S49" s="201">
        <f>Advancement!AB42</f>
        <v>514.59037572499608</v>
      </c>
      <c r="T49" s="202">
        <f>Advancement!AC42</f>
        <v>469.48980740524831</v>
      </c>
      <c r="U49" s="203">
        <f>Advancement!AD42</f>
        <v>428.88181499823241</v>
      </c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167"/>
      <c r="AW49" s="167"/>
      <c r="AX49" s="167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</row>
    <row r="50" spans="1:67" ht="12" customHeight="1" x14ac:dyDescent="0.25"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67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</row>
    <row r="51" spans="1:67" ht="12" customHeight="1" x14ac:dyDescent="0.25"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167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</row>
    <row r="52" spans="1:67" ht="12" customHeight="1" x14ac:dyDescent="0.25"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167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</row>
    <row r="53" spans="1:67" ht="12" customHeight="1" x14ac:dyDescent="0.25"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167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</row>
    <row r="54" spans="1:67" ht="12" customHeight="1" x14ac:dyDescent="0.25"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</row>
    <row r="55" spans="1:67" ht="12" customHeight="1" x14ac:dyDescent="0.25"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</row>
    <row r="56" spans="1:67" ht="12" customHeight="1" x14ac:dyDescent="0.25"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</row>
    <row r="57" spans="1:67" ht="12" customHeight="1" x14ac:dyDescent="0.25"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</row>
    <row r="58" spans="1:67" ht="12" customHeight="1" x14ac:dyDescent="0.25"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</row>
    <row r="59" spans="1:67" ht="12" customHeight="1" x14ac:dyDescent="0.25"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</row>
    <row r="60" spans="1:67" ht="12" customHeight="1" x14ac:dyDescent="0.25"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</row>
    <row r="61" spans="1:67" ht="12" customHeight="1" x14ac:dyDescent="0.25"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</row>
    <row r="62" spans="1:67" ht="12" customHeight="1" x14ac:dyDescent="0.25"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</row>
    <row r="63" spans="1:67" ht="12" customHeight="1" x14ac:dyDescent="0.25"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</row>
    <row r="64" spans="1:67" ht="12" customHeight="1" x14ac:dyDescent="0.25"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</row>
    <row r="65" spans="39:56" ht="12" customHeight="1" x14ac:dyDescent="0.25"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</row>
    <row r="66" spans="39:56" ht="12" customHeight="1" x14ac:dyDescent="0.25"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</row>
    <row r="67" spans="39:56" ht="12" customHeight="1" x14ac:dyDescent="0.25"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</row>
    <row r="68" spans="39:56" ht="12" customHeight="1" x14ac:dyDescent="0.25"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</row>
  </sheetData>
  <mergeCells count="77">
    <mergeCell ref="P7:R7"/>
    <mergeCell ref="S7:U7"/>
    <mergeCell ref="V7:X7"/>
    <mergeCell ref="Y7:AA7"/>
    <mergeCell ref="AB7:AD7"/>
    <mergeCell ref="A6:O6"/>
    <mergeCell ref="A7:A10"/>
    <mergeCell ref="B7:B10"/>
    <mergeCell ref="C7:C10"/>
    <mergeCell ref="D7:D10"/>
    <mergeCell ref="E7:E10"/>
    <mergeCell ref="F7:I7"/>
    <mergeCell ref="J7:L7"/>
    <mergeCell ref="M7:O7"/>
    <mergeCell ref="F8:I8"/>
    <mergeCell ref="J8:L8"/>
    <mergeCell ref="S34:U34"/>
    <mergeCell ref="M31:O31"/>
    <mergeCell ref="P31:R31"/>
    <mergeCell ref="S31:U31"/>
    <mergeCell ref="M32:O32"/>
    <mergeCell ref="P34:R34"/>
    <mergeCell ref="P32:R32"/>
    <mergeCell ref="S32:U32"/>
    <mergeCell ref="AN8:AN11"/>
    <mergeCell ref="AO8:AO11"/>
    <mergeCell ref="AH10:AJ10"/>
    <mergeCell ref="AB8:AD8"/>
    <mergeCell ref="A31:A34"/>
    <mergeCell ref="B31:B34"/>
    <mergeCell ref="C31:C34"/>
    <mergeCell ref="D31:D34"/>
    <mergeCell ref="E31:E34"/>
    <mergeCell ref="J32:L32"/>
    <mergeCell ref="F31:I31"/>
    <mergeCell ref="F32:I32"/>
    <mergeCell ref="J34:L34"/>
    <mergeCell ref="M34:O34"/>
    <mergeCell ref="S8:U8"/>
    <mergeCell ref="V8:X8"/>
    <mergeCell ref="J10:L10"/>
    <mergeCell ref="M10:O10"/>
    <mergeCell ref="P10:R10"/>
    <mergeCell ref="S10:U10"/>
    <mergeCell ref="V10:X10"/>
    <mergeCell ref="A30:I30"/>
    <mergeCell ref="Z39:AF40"/>
    <mergeCell ref="BI11:BJ11"/>
    <mergeCell ref="BI12:BJ12"/>
    <mergeCell ref="BI13:BJ13"/>
    <mergeCell ref="BI14:BJ14"/>
    <mergeCell ref="BG18:BO18"/>
    <mergeCell ref="AM8:AM11"/>
    <mergeCell ref="AL8:AL11"/>
    <mergeCell ref="AE10:AG10"/>
    <mergeCell ref="Y10:AA10"/>
    <mergeCell ref="AB10:AD10"/>
    <mergeCell ref="AP8:AP11"/>
    <mergeCell ref="AQ8:AQ11"/>
    <mergeCell ref="A28:O29"/>
    <mergeCell ref="Y8:AA8"/>
    <mergeCell ref="A4:O5"/>
    <mergeCell ref="BG19:BI19"/>
    <mergeCell ref="BJ19:BL19"/>
    <mergeCell ref="BM19:BO19"/>
    <mergeCell ref="BI24:BK24"/>
    <mergeCell ref="AR9:AT9"/>
    <mergeCell ref="AU9:AW9"/>
    <mergeCell ref="AX9:AZ9"/>
    <mergeCell ref="AR10:AT10"/>
    <mergeCell ref="AU10:AW10"/>
    <mergeCell ref="AX10:AZ10"/>
    <mergeCell ref="AE8:AG8"/>
    <mergeCell ref="AH8:AJ8"/>
    <mergeCell ref="M8:O8"/>
    <mergeCell ref="P8:R8"/>
    <mergeCell ref="AE7:AG7"/>
  </mergeCells>
  <pageMargins left="0.7" right="0.7" top="0.75" bottom="0.75" header="0.3" footer="0.3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zoomScaleNormal="100" workbookViewId="0">
      <selection activeCell="K21" sqref="K21"/>
    </sheetView>
  </sheetViews>
  <sheetFormatPr defaultColWidth="11.42578125" defaultRowHeight="15" x14ac:dyDescent="0.25"/>
  <sheetData>
    <row r="2" spans="1:7" ht="15.75" thickBot="1" x14ac:dyDescent="0.3"/>
    <row r="3" spans="1:7" x14ac:dyDescent="0.25">
      <c r="A3" s="542" t="s">
        <v>3</v>
      </c>
      <c r="B3" s="545" t="s">
        <v>19</v>
      </c>
      <c r="C3" s="545" t="s">
        <v>20</v>
      </c>
      <c r="D3" s="548" t="s">
        <v>4</v>
      </c>
      <c r="E3" s="653" t="s">
        <v>104</v>
      </c>
    </row>
    <row r="4" spans="1:7" ht="15.75" thickBot="1" x14ac:dyDescent="0.3">
      <c r="A4" s="543"/>
      <c r="B4" s="546"/>
      <c r="C4" s="546"/>
      <c r="D4" s="549"/>
      <c r="E4" s="654"/>
    </row>
    <row r="5" spans="1:7" x14ac:dyDescent="0.25">
      <c r="A5" s="543"/>
      <c r="B5" s="546"/>
      <c r="C5" s="546"/>
      <c r="D5" s="549"/>
      <c r="E5" s="552"/>
      <c r="F5" s="348" t="s">
        <v>148</v>
      </c>
      <c r="G5" s="290" t="s">
        <v>32</v>
      </c>
    </row>
    <row r="6" spans="1:7" ht="15.75" thickBot="1" x14ac:dyDescent="0.3">
      <c r="A6" s="544"/>
      <c r="B6" s="547"/>
      <c r="C6" s="547"/>
      <c r="D6" s="550"/>
      <c r="E6" s="553"/>
      <c r="F6" s="292" t="s">
        <v>22</v>
      </c>
      <c r="G6" s="294" t="s">
        <v>31</v>
      </c>
    </row>
    <row r="7" spans="1:7" x14ac:dyDescent="0.25">
      <c r="A7" s="109">
        <f>Print_ADV!A11</f>
        <v>26</v>
      </c>
      <c r="B7" s="110">
        <f>Print_ADV!B11</f>
        <v>49118</v>
      </c>
      <c r="C7" s="110">
        <f>Print_ADV!C11</f>
        <v>50323</v>
      </c>
      <c r="D7" s="111">
        <f>Print_ADV!D11</f>
        <v>1205</v>
      </c>
      <c r="E7" s="112" t="str">
        <f>Print_ADV!E11</f>
        <v>GB-G-GA-1</v>
      </c>
      <c r="F7" s="116">
        <v>79</v>
      </c>
      <c r="G7" s="118">
        <v>115</v>
      </c>
    </row>
    <row r="8" spans="1:7" x14ac:dyDescent="0.25">
      <c r="A8" s="125">
        <f>Print_ADV!A12</f>
        <v>27</v>
      </c>
      <c r="B8" s="126">
        <f>Print_ADV!B12</f>
        <v>50323</v>
      </c>
      <c r="C8" s="126">
        <f>Print_ADV!C12</f>
        <v>50395</v>
      </c>
      <c r="D8" s="127">
        <f>Print_ADV!D12</f>
        <v>72</v>
      </c>
      <c r="E8" s="128" t="str">
        <f>Print_ADV!E12</f>
        <v>GB-G-GA-2</v>
      </c>
      <c r="F8" s="132">
        <v>92</v>
      </c>
      <c r="G8" s="134">
        <v>89</v>
      </c>
    </row>
    <row r="9" spans="1:7" x14ac:dyDescent="0.25">
      <c r="A9" s="125">
        <f>Print_ADV!A13</f>
        <v>28</v>
      </c>
      <c r="B9" s="126">
        <f>Print_ADV!B13</f>
        <v>50395</v>
      </c>
      <c r="C9" s="126">
        <f>Print_ADV!C13</f>
        <v>51494.5</v>
      </c>
      <c r="D9" s="127">
        <f>Print_ADV!D13</f>
        <v>1099.5</v>
      </c>
      <c r="E9" s="128" t="str">
        <f>Print_ADV!E13</f>
        <v>GB-G-GA-3</v>
      </c>
      <c r="F9" s="132">
        <v>77</v>
      </c>
      <c r="G9" s="134">
        <v>131</v>
      </c>
    </row>
    <row r="10" spans="1:7" x14ac:dyDescent="0.25">
      <c r="A10" s="125" t="str">
        <f>Print_ADV!A14</f>
        <v>F4</v>
      </c>
      <c r="B10" s="126">
        <f>Print_ADV!B14</f>
        <v>51494.5</v>
      </c>
      <c r="C10" s="126">
        <f>Print_ADV!C14</f>
        <v>51505.5</v>
      </c>
      <c r="D10" s="127">
        <f>Print_ADV!D14</f>
        <v>11</v>
      </c>
      <c r="E10" s="128" t="str">
        <f>Print_ADV!E14</f>
        <v>F4</v>
      </c>
      <c r="F10" s="132">
        <v>77</v>
      </c>
      <c r="G10" s="134">
        <v>131</v>
      </c>
    </row>
    <row r="11" spans="1:7" x14ac:dyDescent="0.25">
      <c r="A11" s="125">
        <f>Print_ADV!A15</f>
        <v>28</v>
      </c>
      <c r="B11" s="126">
        <f>Print_ADV!B15</f>
        <v>51505.5</v>
      </c>
      <c r="C11" s="126">
        <f>Print_ADV!C15</f>
        <v>51564</v>
      </c>
      <c r="D11" s="127">
        <f>Print_ADV!D15</f>
        <v>58.5</v>
      </c>
      <c r="E11" s="128" t="str">
        <f>Print_ADV!E15</f>
        <v>GB-G-GA-3</v>
      </c>
      <c r="F11" s="132">
        <v>77</v>
      </c>
      <c r="G11" s="134">
        <v>131</v>
      </c>
    </row>
    <row r="12" spans="1:7" x14ac:dyDescent="0.25">
      <c r="A12" s="125">
        <f>Print_ADV!A16</f>
        <v>29</v>
      </c>
      <c r="B12" s="126">
        <f>Print_ADV!B16</f>
        <v>51564</v>
      </c>
      <c r="C12" s="126">
        <f>Print_ADV!C16</f>
        <v>51639</v>
      </c>
      <c r="D12" s="127">
        <f>Print_ADV!D16</f>
        <v>75</v>
      </c>
      <c r="E12" s="128" t="str">
        <f>Print_ADV!E16</f>
        <v>GB-G-GA-4</v>
      </c>
      <c r="F12" s="132">
        <v>89</v>
      </c>
      <c r="G12" s="134">
        <v>90</v>
      </c>
    </row>
    <row r="13" spans="1:7" x14ac:dyDescent="0.25">
      <c r="A13" s="125" t="str">
        <f>Print_ADV!A17</f>
        <v>F6-F7</v>
      </c>
      <c r="B13" s="126">
        <f>Print_ADV!B17</f>
        <v>51639</v>
      </c>
      <c r="C13" s="126">
        <f>Print_ADV!C17</f>
        <v>51743</v>
      </c>
      <c r="D13" s="127">
        <f>Print_ADV!D17</f>
        <v>104</v>
      </c>
      <c r="E13" s="128" t="str">
        <f>Print_ADV!E17</f>
        <v>F6-F7</v>
      </c>
      <c r="F13" s="132">
        <v>89</v>
      </c>
      <c r="G13" s="134">
        <v>90</v>
      </c>
    </row>
    <row r="14" spans="1:7" x14ac:dyDescent="0.25">
      <c r="A14" s="125">
        <f>Print_ADV!A18</f>
        <v>30</v>
      </c>
      <c r="B14" s="126">
        <f>Print_ADV!B18</f>
        <v>51743</v>
      </c>
      <c r="C14" s="126">
        <f>Print_ADV!C18</f>
        <v>51980.5</v>
      </c>
      <c r="D14" s="127">
        <f>Print_ADV!D18</f>
        <v>237.5</v>
      </c>
      <c r="E14" s="128" t="str">
        <f>Print_ADV!E18</f>
        <v>GB-G-GA-5</v>
      </c>
      <c r="F14" s="132">
        <v>80</v>
      </c>
      <c r="G14" s="134">
        <v>122</v>
      </c>
    </row>
    <row r="15" spans="1:7" x14ac:dyDescent="0.25">
      <c r="A15" s="141" t="str">
        <f>Print_ADV!A19</f>
        <v>F9</v>
      </c>
      <c r="B15" s="126">
        <f>Print_ADV!B19</f>
        <v>51980.5</v>
      </c>
      <c r="C15" s="142">
        <f>Print_ADV!C19</f>
        <v>52003.5</v>
      </c>
      <c r="D15" s="127">
        <f>Print_ADV!D19</f>
        <v>23</v>
      </c>
      <c r="E15" s="143" t="str">
        <f>Print_ADV!E19</f>
        <v>F9</v>
      </c>
      <c r="F15" s="132">
        <v>80</v>
      </c>
      <c r="G15" s="134">
        <v>122</v>
      </c>
    </row>
    <row r="16" spans="1:7" x14ac:dyDescent="0.25">
      <c r="A16" s="125">
        <f>Print_ADV!A20</f>
        <v>30</v>
      </c>
      <c r="B16" s="126">
        <f>Print_ADV!B20</f>
        <v>52003.5</v>
      </c>
      <c r="C16" s="142">
        <f>Print_ADV!C20</f>
        <v>52363.5</v>
      </c>
      <c r="D16" s="127">
        <f>Print_ADV!D20</f>
        <v>360</v>
      </c>
      <c r="E16" s="128" t="str">
        <f>Print_ADV!E20</f>
        <v>GB-G-GA-5</v>
      </c>
      <c r="F16" s="132">
        <v>80</v>
      </c>
      <c r="G16" s="134">
        <v>122</v>
      </c>
    </row>
    <row r="17" spans="1:7" x14ac:dyDescent="0.25">
      <c r="A17" s="141" t="str">
        <f>Print_ADV!A21</f>
        <v>F11</v>
      </c>
      <c r="B17" s="126">
        <f>Print_ADV!B21</f>
        <v>52363.5</v>
      </c>
      <c r="C17" s="142">
        <f>Print_ADV!C21</f>
        <v>52392.5</v>
      </c>
      <c r="D17" s="127">
        <f>Print_ADV!D21</f>
        <v>29</v>
      </c>
      <c r="E17" s="143" t="str">
        <f>Print_ADV!E21</f>
        <v>F11</v>
      </c>
      <c r="F17" s="132">
        <v>80</v>
      </c>
      <c r="G17" s="134">
        <v>122</v>
      </c>
    </row>
    <row r="18" spans="1:7" x14ac:dyDescent="0.25">
      <c r="A18" s="125">
        <f>Print_ADV!A22</f>
        <v>31</v>
      </c>
      <c r="B18" s="126">
        <f>Print_ADV!B22</f>
        <v>52392.5</v>
      </c>
      <c r="C18" s="142">
        <f>Print_ADV!C22</f>
        <v>52490.5</v>
      </c>
      <c r="D18" s="127">
        <f>Print_ADV!D22</f>
        <v>98</v>
      </c>
      <c r="E18" s="143" t="str">
        <f>Print_ADV!E22</f>
        <v>GB-G-GA-6</v>
      </c>
      <c r="F18" s="132">
        <v>81</v>
      </c>
      <c r="G18" s="134">
        <v>115</v>
      </c>
    </row>
    <row r="19" spans="1:7" x14ac:dyDescent="0.25">
      <c r="A19" s="125" t="str">
        <f>Print_ADV!A23</f>
        <v>F12</v>
      </c>
      <c r="B19" s="126">
        <f>Print_ADV!B23</f>
        <v>52490.5</v>
      </c>
      <c r="C19" s="142">
        <f>Print_ADV!C23</f>
        <v>52511.5</v>
      </c>
      <c r="D19" s="127">
        <f>Print_ADV!D23</f>
        <v>21</v>
      </c>
      <c r="E19" s="143" t="str">
        <f>Print_ADV!E23</f>
        <v>F12</v>
      </c>
      <c r="F19" s="132">
        <v>81</v>
      </c>
      <c r="G19" s="134">
        <v>115</v>
      </c>
    </row>
    <row r="20" spans="1:7" ht="15.75" thickBot="1" x14ac:dyDescent="0.3">
      <c r="A20" s="147">
        <f>Print_ADV!A24</f>
        <v>31</v>
      </c>
      <c r="B20" s="148">
        <f>Print_ADV!B24</f>
        <v>52511.5</v>
      </c>
      <c r="C20" s="148">
        <f>Print_ADV!C24</f>
        <v>52622.5</v>
      </c>
      <c r="D20" s="354">
        <f>Print_ADV!D24</f>
        <v>111</v>
      </c>
      <c r="E20" s="149" t="str">
        <f>Print_ADV!E24</f>
        <v>GB-G-GA-6</v>
      </c>
      <c r="F20" s="153">
        <v>81</v>
      </c>
      <c r="G20" s="155">
        <v>115</v>
      </c>
    </row>
    <row r="21" spans="1:7" ht="15.75" thickBot="1" x14ac:dyDescent="0.3">
      <c r="A21" s="162"/>
      <c r="B21" s="163"/>
      <c r="C21" s="163"/>
      <c r="D21" s="164">
        <f>SUM(D7:D20)</f>
        <v>3504.5</v>
      </c>
      <c r="E21" s="162"/>
    </row>
    <row r="24" spans="1:7" x14ac:dyDescent="0.25">
      <c r="A24" s="395"/>
      <c r="B24" s="395"/>
      <c r="C24" s="395"/>
      <c r="D24" s="395"/>
      <c r="E24" s="395"/>
      <c r="F24" s="395"/>
      <c r="G24" s="395"/>
    </row>
    <row r="25" spans="1:7" ht="15.75" thickBot="1" x14ac:dyDescent="0.3">
      <c r="A25" s="395"/>
      <c r="B25" s="396" t="s">
        <v>210</v>
      </c>
      <c r="C25" s="395"/>
      <c r="D25" s="395"/>
      <c r="E25" s="395"/>
      <c r="F25" s="395"/>
      <c r="G25" s="395"/>
    </row>
    <row r="26" spans="1:7" x14ac:dyDescent="0.25">
      <c r="A26" s="395"/>
      <c r="B26" s="355" t="s">
        <v>148</v>
      </c>
      <c r="C26" s="290" t="s">
        <v>203</v>
      </c>
      <c r="D26" s="651" t="s">
        <v>1</v>
      </c>
      <c r="E26" s="651" t="s">
        <v>21</v>
      </c>
      <c r="F26" s="651" t="s">
        <v>2</v>
      </c>
      <c r="G26" s="395"/>
    </row>
    <row r="27" spans="1:7" ht="15.75" thickBot="1" x14ac:dyDescent="0.3">
      <c r="A27" s="395"/>
      <c r="B27" s="292" t="s">
        <v>22</v>
      </c>
      <c r="C27" s="294" t="s">
        <v>31</v>
      </c>
      <c r="D27" s="652"/>
      <c r="E27" s="652"/>
      <c r="F27" s="652"/>
      <c r="G27" s="395"/>
    </row>
    <row r="28" spans="1:7" x14ac:dyDescent="0.25">
      <c r="A28" s="395"/>
      <c r="B28" s="109" t="s">
        <v>204</v>
      </c>
      <c r="C28" s="384" t="s">
        <v>205</v>
      </c>
      <c r="D28" s="390" t="s">
        <v>206</v>
      </c>
      <c r="E28" s="383"/>
      <c r="F28" s="384"/>
      <c r="G28" s="395"/>
    </row>
    <row r="29" spans="1:7" x14ac:dyDescent="0.25">
      <c r="A29" s="395"/>
      <c r="B29" s="125" t="s">
        <v>204</v>
      </c>
      <c r="C29" s="386" t="s">
        <v>207</v>
      </c>
      <c r="D29" s="388"/>
      <c r="E29" s="385"/>
      <c r="F29" s="391" t="s">
        <v>206</v>
      </c>
      <c r="G29" s="395"/>
    </row>
    <row r="30" spans="1:7" x14ac:dyDescent="0.25">
      <c r="A30" s="395"/>
      <c r="B30" s="125" t="s">
        <v>208</v>
      </c>
      <c r="C30" s="386" t="s">
        <v>205</v>
      </c>
      <c r="D30" s="393" t="s">
        <v>206</v>
      </c>
      <c r="E30" s="392" t="s">
        <v>206</v>
      </c>
      <c r="F30" s="391" t="s">
        <v>206</v>
      </c>
      <c r="G30" s="395"/>
    </row>
    <row r="31" spans="1:7" x14ac:dyDescent="0.25">
      <c r="A31" s="395"/>
      <c r="B31" s="125" t="s">
        <v>208</v>
      </c>
      <c r="C31" s="386" t="s">
        <v>207</v>
      </c>
      <c r="D31" s="388"/>
      <c r="E31" s="392" t="s">
        <v>206</v>
      </c>
      <c r="F31" s="386"/>
      <c r="G31" s="395"/>
    </row>
    <row r="32" spans="1:7" ht="15.75" thickBot="1" x14ac:dyDescent="0.3">
      <c r="A32" s="395"/>
      <c r="B32" s="147" t="s">
        <v>209</v>
      </c>
      <c r="C32" s="387"/>
      <c r="D32" s="389"/>
      <c r="E32" s="394" t="s">
        <v>206</v>
      </c>
      <c r="F32" s="387"/>
      <c r="G32" s="395"/>
    </row>
    <row r="33" spans="1:7" x14ac:dyDescent="0.25">
      <c r="A33" s="395"/>
      <c r="B33" s="395"/>
      <c r="C33" s="395"/>
      <c r="D33" s="395"/>
      <c r="E33" s="395"/>
      <c r="F33" s="395"/>
      <c r="G33" s="395"/>
    </row>
    <row r="34" spans="1:7" x14ac:dyDescent="0.25">
      <c r="A34" s="395"/>
      <c r="B34" s="395"/>
      <c r="C34" s="395"/>
      <c r="D34" s="395"/>
      <c r="E34" s="395"/>
      <c r="F34" s="395"/>
      <c r="G34" s="395"/>
    </row>
  </sheetData>
  <mergeCells count="8">
    <mergeCell ref="F26:F27"/>
    <mergeCell ref="E26:E27"/>
    <mergeCell ref="D26:D27"/>
    <mergeCell ref="A3:A6"/>
    <mergeCell ref="B3:B6"/>
    <mergeCell ref="C3:C6"/>
    <mergeCell ref="D3:D6"/>
    <mergeCell ref="E3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zoomScale="85" zoomScaleNormal="85" workbookViewId="0">
      <selection activeCell="K21" sqref="K21"/>
    </sheetView>
  </sheetViews>
  <sheetFormatPr defaultColWidth="11.42578125" defaultRowHeight="15" x14ac:dyDescent="0.25"/>
  <cols>
    <col min="1" max="16384" width="11.42578125" style="382"/>
  </cols>
  <sheetData>
    <row r="2" spans="1:5" x14ac:dyDescent="0.25">
      <c r="B2" s="382" t="s">
        <v>140</v>
      </c>
      <c r="C2" s="382" t="s">
        <v>141</v>
      </c>
      <c r="D2" s="382" t="s">
        <v>142</v>
      </c>
    </row>
    <row r="3" spans="1:5" x14ac:dyDescent="0.25">
      <c r="A3" s="382">
        <v>0</v>
      </c>
      <c r="B3" s="382">
        <v>0</v>
      </c>
      <c r="C3" s="382">
        <v>0</v>
      </c>
      <c r="D3" s="382">
        <v>0</v>
      </c>
    </row>
    <row r="4" spans="1:5" x14ac:dyDescent="0.25">
      <c r="A4" s="382">
        <v>1</v>
      </c>
      <c r="B4" s="382">
        <v>106.7</v>
      </c>
      <c r="C4" s="382">
        <f>B4</f>
        <v>106.7</v>
      </c>
      <c r="D4" s="656" t="s">
        <v>143</v>
      </c>
      <c r="E4" s="657">
        <f>C7/A7</f>
        <v>208.22499999999999</v>
      </c>
    </row>
    <row r="5" spans="1:5" x14ac:dyDescent="0.25">
      <c r="A5" s="382">
        <v>2</v>
      </c>
      <c r="B5" s="382">
        <v>355.6</v>
      </c>
      <c r="C5" s="382">
        <f>B5+C4</f>
        <v>462.3</v>
      </c>
      <c r="D5" s="656"/>
      <c r="E5" s="657"/>
    </row>
    <row r="6" spans="1:5" x14ac:dyDescent="0.25">
      <c r="A6" s="382">
        <v>3</v>
      </c>
      <c r="B6" s="382">
        <v>147.5</v>
      </c>
      <c r="C6" s="382">
        <f t="shared" ref="C6:C32" si="0">B6+C5</f>
        <v>609.79999999999995</v>
      </c>
      <c r="D6" s="656"/>
      <c r="E6" s="657"/>
    </row>
    <row r="7" spans="1:5" ht="15" customHeight="1" x14ac:dyDescent="0.25">
      <c r="A7" s="382">
        <v>4</v>
      </c>
      <c r="B7" s="382">
        <v>223.1</v>
      </c>
      <c r="C7" s="382">
        <f t="shared" si="0"/>
        <v>832.9</v>
      </c>
      <c r="D7" s="656"/>
      <c r="E7" s="657"/>
    </row>
    <row r="8" spans="1:5" x14ac:dyDescent="0.25">
      <c r="A8" s="382">
        <v>5</v>
      </c>
      <c r="B8" s="382">
        <v>401.8</v>
      </c>
      <c r="C8" s="382">
        <f t="shared" si="0"/>
        <v>1234.7</v>
      </c>
      <c r="D8" s="656" t="s">
        <v>144</v>
      </c>
      <c r="E8" s="657">
        <f>(C10-C7)/(A10-A7)</f>
        <v>361.5333333333333</v>
      </c>
    </row>
    <row r="9" spans="1:5" x14ac:dyDescent="0.25">
      <c r="A9" s="382">
        <v>6</v>
      </c>
      <c r="B9" s="382">
        <v>373</v>
      </c>
      <c r="C9" s="382">
        <f t="shared" si="0"/>
        <v>1607.7</v>
      </c>
      <c r="D9" s="656"/>
      <c r="E9" s="657"/>
    </row>
    <row r="10" spans="1:5" x14ac:dyDescent="0.25">
      <c r="A10" s="382">
        <v>7</v>
      </c>
      <c r="B10" s="382">
        <v>309.8</v>
      </c>
      <c r="C10" s="382">
        <f t="shared" si="0"/>
        <v>1917.5</v>
      </c>
      <c r="D10" s="656"/>
      <c r="E10" s="657"/>
    </row>
    <row r="11" spans="1:5" x14ac:dyDescent="0.25">
      <c r="A11" s="382">
        <v>8</v>
      </c>
      <c r="B11" s="382">
        <v>475.2</v>
      </c>
      <c r="C11" s="382">
        <f t="shared" si="0"/>
        <v>2392.6999999999998</v>
      </c>
      <c r="D11" s="656" t="s">
        <v>147</v>
      </c>
      <c r="E11" s="657">
        <f>(C18-C10)/(A18-A10)</f>
        <v>510.5</v>
      </c>
    </row>
    <row r="12" spans="1:5" x14ac:dyDescent="0.25">
      <c r="A12" s="382">
        <v>9</v>
      </c>
      <c r="B12" s="382">
        <v>603.20000000000005</v>
      </c>
      <c r="C12" s="382">
        <f t="shared" si="0"/>
        <v>2995.8999999999996</v>
      </c>
      <c r="D12" s="656"/>
      <c r="E12" s="657"/>
    </row>
    <row r="13" spans="1:5" x14ac:dyDescent="0.25">
      <c r="A13" s="382">
        <v>10</v>
      </c>
      <c r="B13" s="382">
        <v>665.2</v>
      </c>
      <c r="C13" s="382">
        <f t="shared" si="0"/>
        <v>3661.0999999999995</v>
      </c>
      <c r="D13" s="656"/>
      <c r="E13" s="657"/>
    </row>
    <row r="14" spans="1:5" x14ac:dyDescent="0.25">
      <c r="A14" s="382">
        <v>11</v>
      </c>
      <c r="B14" s="382">
        <v>568.79999999999995</v>
      </c>
      <c r="C14" s="382">
        <f t="shared" si="0"/>
        <v>4229.8999999999996</v>
      </c>
      <c r="D14" s="656"/>
      <c r="E14" s="657"/>
    </row>
    <row r="15" spans="1:5" x14ac:dyDescent="0.25">
      <c r="A15" s="382">
        <v>12</v>
      </c>
      <c r="B15" s="382">
        <v>493.6</v>
      </c>
      <c r="C15" s="382">
        <f t="shared" si="0"/>
        <v>4723.5</v>
      </c>
      <c r="D15" s="656"/>
      <c r="E15" s="657"/>
    </row>
    <row r="16" spans="1:5" x14ac:dyDescent="0.25">
      <c r="A16" s="382">
        <v>13</v>
      </c>
      <c r="B16" s="382">
        <v>564.4</v>
      </c>
      <c r="C16" s="382">
        <f t="shared" si="0"/>
        <v>5287.9</v>
      </c>
      <c r="D16" s="656"/>
      <c r="E16" s="657"/>
    </row>
    <row r="17" spans="1:5" x14ac:dyDescent="0.25">
      <c r="A17" s="382">
        <v>14</v>
      </c>
      <c r="B17" s="382">
        <v>536.1</v>
      </c>
      <c r="C17" s="382">
        <f t="shared" si="0"/>
        <v>5824</v>
      </c>
      <c r="D17" s="656"/>
      <c r="E17" s="657"/>
    </row>
    <row r="18" spans="1:5" x14ac:dyDescent="0.25">
      <c r="A18" s="382">
        <v>15</v>
      </c>
      <c r="B18" s="382">
        <v>177.5</v>
      </c>
      <c r="C18" s="382">
        <f t="shared" si="0"/>
        <v>6001.5</v>
      </c>
      <c r="D18" s="656"/>
      <c r="E18" s="657"/>
    </row>
    <row r="19" spans="1:5" x14ac:dyDescent="0.25">
      <c r="A19" s="382">
        <v>16</v>
      </c>
      <c r="B19" s="382">
        <v>0</v>
      </c>
      <c r="C19" s="382">
        <f t="shared" si="0"/>
        <v>6001.5</v>
      </c>
      <c r="D19" s="655" t="s">
        <v>145</v>
      </c>
      <c r="E19" s="655">
        <v>0</v>
      </c>
    </row>
    <row r="20" spans="1:5" x14ac:dyDescent="0.25">
      <c r="A20" s="382">
        <v>17</v>
      </c>
      <c r="B20" s="382">
        <v>0</v>
      </c>
      <c r="C20" s="382">
        <f t="shared" si="0"/>
        <v>6001.5</v>
      </c>
      <c r="D20" s="655"/>
      <c r="E20" s="655"/>
    </row>
    <row r="21" spans="1:5" x14ac:dyDescent="0.25">
      <c r="A21" s="382">
        <v>18</v>
      </c>
      <c r="B21" s="382">
        <v>0</v>
      </c>
      <c r="C21" s="382">
        <f t="shared" si="0"/>
        <v>6001.5</v>
      </c>
      <c r="D21" s="655"/>
      <c r="E21" s="655"/>
    </row>
    <row r="22" spans="1:5" x14ac:dyDescent="0.25">
      <c r="A22" s="382">
        <v>19</v>
      </c>
      <c r="B22" s="382">
        <v>36.1</v>
      </c>
      <c r="C22" s="382">
        <f t="shared" si="0"/>
        <v>6037.6</v>
      </c>
      <c r="D22" s="655" t="s">
        <v>146</v>
      </c>
      <c r="E22" s="657">
        <f>(C32-C22)/(A32-A22)</f>
        <v>422.2299999999999</v>
      </c>
    </row>
    <row r="23" spans="1:5" x14ac:dyDescent="0.25">
      <c r="A23" s="382">
        <v>20</v>
      </c>
      <c r="B23" s="382">
        <v>509.8</v>
      </c>
      <c r="C23" s="382">
        <f t="shared" si="0"/>
        <v>6547.4000000000005</v>
      </c>
      <c r="D23" s="655"/>
      <c r="E23" s="657"/>
    </row>
    <row r="24" spans="1:5" x14ac:dyDescent="0.25">
      <c r="A24" s="382">
        <v>21</v>
      </c>
      <c r="B24" s="382">
        <v>293.60000000000002</v>
      </c>
      <c r="C24" s="382">
        <f t="shared" si="0"/>
        <v>6841.0000000000009</v>
      </c>
      <c r="D24" s="655"/>
      <c r="E24" s="657"/>
    </row>
    <row r="25" spans="1:5" x14ac:dyDescent="0.25">
      <c r="A25" s="382">
        <v>22</v>
      </c>
      <c r="B25" s="382">
        <v>418.6</v>
      </c>
      <c r="C25" s="382">
        <f t="shared" si="0"/>
        <v>7259.6000000000013</v>
      </c>
      <c r="D25" s="655"/>
      <c r="E25" s="657"/>
    </row>
    <row r="26" spans="1:5" x14ac:dyDescent="0.25">
      <c r="A26" s="382">
        <v>23</v>
      </c>
      <c r="B26" s="382">
        <v>454.9</v>
      </c>
      <c r="C26" s="382">
        <f t="shared" si="0"/>
        <v>7714.5000000000009</v>
      </c>
      <c r="D26" s="655"/>
      <c r="E26" s="657"/>
    </row>
    <row r="27" spans="1:5" x14ac:dyDescent="0.25">
      <c r="A27" s="382">
        <v>24</v>
      </c>
      <c r="B27" s="382">
        <v>438.2</v>
      </c>
      <c r="C27" s="382">
        <f t="shared" si="0"/>
        <v>8152.7000000000007</v>
      </c>
      <c r="D27" s="655"/>
      <c r="E27" s="657"/>
    </row>
    <row r="28" spans="1:5" x14ac:dyDescent="0.25">
      <c r="A28" s="382">
        <v>25</v>
      </c>
      <c r="B28" s="382">
        <v>462.1</v>
      </c>
      <c r="C28" s="382">
        <f t="shared" si="0"/>
        <v>8614.8000000000011</v>
      </c>
      <c r="D28" s="655"/>
      <c r="E28" s="657"/>
    </row>
    <row r="29" spans="1:5" x14ac:dyDescent="0.25">
      <c r="A29" s="382">
        <v>26</v>
      </c>
      <c r="B29" s="382">
        <v>407.8</v>
      </c>
      <c r="C29" s="382">
        <f t="shared" si="0"/>
        <v>9022.6</v>
      </c>
      <c r="D29" s="655"/>
      <c r="E29" s="657"/>
    </row>
    <row r="30" spans="1:5" x14ac:dyDescent="0.25">
      <c r="A30" s="382">
        <v>27</v>
      </c>
      <c r="B30" s="382">
        <v>221.3</v>
      </c>
      <c r="C30" s="382">
        <f t="shared" si="0"/>
        <v>9243.9</v>
      </c>
      <c r="D30" s="655"/>
      <c r="E30" s="657"/>
    </row>
    <row r="31" spans="1:5" x14ac:dyDescent="0.25">
      <c r="A31" s="382">
        <v>28</v>
      </c>
      <c r="B31" s="382">
        <v>520.70000000000005</v>
      </c>
      <c r="C31" s="382">
        <f t="shared" si="0"/>
        <v>9764.6</v>
      </c>
      <c r="D31" s="655"/>
      <c r="E31" s="657"/>
    </row>
    <row r="32" spans="1:5" x14ac:dyDescent="0.25">
      <c r="A32" s="382">
        <v>29</v>
      </c>
      <c r="B32" s="382">
        <v>495.3</v>
      </c>
      <c r="C32" s="382">
        <f t="shared" si="0"/>
        <v>10259.9</v>
      </c>
      <c r="D32" s="655"/>
      <c r="E32" s="657"/>
    </row>
  </sheetData>
  <mergeCells count="10">
    <mergeCell ref="D19:D21"/>
    <mergeCell ref="D22:D32"/>
    <mergeCell ref="D8:D10"/>
    <mergeCell ref="D11:D18"/>
    <mergeCell ref="E4:E7"/>
    <mergeCell ref="E8:E10"/>
    <mergeCell ref="E11:E18"/>
    <mergeCell ref="E19:E21"/>
    <mergeCell ref="E22:E32"/>
    <mergeCell ref="D4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Inputs</vt:lpstr>
      <vt:lpstr>Models</vt:lpstr>
      <vt:lpstr>Utilization Factor</vt:lpstr>
      <vt:lpstr>Advancement</vt:lpstr>
      <vt:lpstr>Prod Peak</vt:lpstr>
      <vt:lpstr>Print_ADV</vt:lpstr>
      <vt:lpstr>RME sigmaC</vt:lpstr>
      <vt:lpstr>Cunicolo AICA</vt:lpstr>
      <vt:lpstr>Pk vs t Design</vt:lpstr>
      <vt:lpstr>Programma Lavori</vt:lpstr>
      <vt:lpstr>Pk vs t PROD</vt:lpstr>
      <vt:lpstr>Pk vs t GEN SUD</vt:lpstr>
      <vt:lpstr>Pk vs t OPEN SUD</vt:lpstr>
      <vt:lpstr>Pk vs t S SUD</vt:lpstr>
      <vt:lpstr>Pk vs t DS SUD</vt:lpstr>
      <vt:lpstr>RME e UCS</vt:lpstr>
    </vt:vector>
  </TitlesOfParts>
  <Company>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sws</cp:lastModifiedBy>
  <cp:lastPrinted>2015-09-03T15:48:31Z</cp:lastPrinted>
  <dcterms:created xsi:type="dcterms:W3CDTF">2015-08-20T10:38:46Z</dcterms:created>
  <dcterms:modified xsi:type="dcterms:W3CDTF">2016-04-21T18:07:08Z</dcterms:modified>
</cp:coreProperties>
</file>